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1" documentId="8_{68429714-0492-41B9-89B5-0C648DFAC36F}" xr6:coauthVersionLast="47" xr6:coauthVersionMax="47" xr10:uidLastSave="{B924C211-6851-45FF-9D5F-121A041D7FB7}"/>
  <bookViews>
    <workbookView xWindow="-108" yWindow="-108" windowWidth="23256" windowHeight="12576" tabRatio="821" firstSheet="69" activeTab="85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5" r:id="rId57"/>
    <sheet name="331" sheetId="30" r:id="rId58"/>
    <sheet name="315" sheetId="69" r:id="rId59"/>
    <sheet name="326" sheetId="77" r:id="rId60"/>
    <sheet name="332" sheetId="33" r:id="rId61"/>
    <sheet name="316" sheetId="70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Div 4" sheetId="36" r:id="rId71"/>
    <sheet name="310 &amp; 491" sheetId="39" r:id="rId72"/>
    <sheet name="491" sheetId="42" r:id="rId73"/>
    <sheet name="405" sheetId="78" r:id="rId74"/>
    <sheet name="406" sheetId="79" r:id="rId75"/>
    <sheet name="411" sheetId="80" r:id="rId76"/>
    <sheet name="412" sheetId="81" r:id="rId77"/>
    <sheet name="413" sheetId="82" r:id="rId78"/>
    <sheet name="414" sheetId="83" r:id="rId79"/>
    <sheet name="415" sheetId="84" r:id="rId80"/>
    <sheet name="418" sheetId="85" r:id="rId81"/>
    <sheet name="423" sheetId="86" r:id="rId82"/>
    <sheet name="424" sheetId="87" r:id="rId83"/>
    <sheet name="425" sheetId="88" r:id="rId84"/>
    <sheet name="455" sheetId="94" r:id="rId85"/>
    <sheet name="492" sheetId="45" r:id="rId86"/>
    <sheet name="430" sheetId="89" r:id="rId87"/>
    <sheet name="433" sheetId="90" r:id="rId88"/>
    <sheet name="435" sheetId="91" r:id="rId89"/>
    <sheet name="444" sheetId="92" r:id="rId90"/>
    <sheet name="450" sheetId="93" r:id="rId91"/>
    <sheet name="Div 5" sheetId="48" r:id="rId92"/>
    <sheet name="501" sheetId="95" r:id="rId93"/>
    <sheet name="Dept" sheetId="96" state="hidden" r:id="rId94"/>
    <sheet name="OSR_Dept_Y0WUKY" sheetId="97" state="hidden" r:id="rId95"/>
    <sheet name="OSR_Summary (...56e5d78f_5JEYZH" sheetId="98" state="hidden" r:id="rId96"/>
  </sheets>
  <definedNames>
    <definedName name="OSRRefD13x_0" localSheetId="48">'300'!$D$13:$D$62</definedName>
    <definedName name="OSRRefD13x_0" localSheetId="49">'300 &amp; 317'!$D$13:$D$76</definedName>
    <definedName name="OSRRefD13x_0" localSheetId="54">'308'!$D$13:$D$28</definedName>
    <definedName name="OSRRefD13x_0" localSheetId="64">'310'!$D$13:$D$16</definedName>
    <definedName name="OSRRefD13x_0" localSheetId="71">'310 &amp; 491'!$D$13:$D$19</definedName>
    <definedName name="OSRRefD13x_0" localSheetId="55">'311'!$D$13:$D$28</definedName>
    <definedName name="OSRRefD13x_0" localSheetId="66">'313'!$D$13:$D$16</definedName>
    <definedName name="OSRRefD13x_0" localSheetId="58">'315'!$D$13:$D$48</definedName>
    <definedName name="OSRRefD13x_0" localSheetId="61">'316'!$D$13:$D$19</definedName>
    <definedName name="OSRRefD13x_0" localSheetId="63">'317'!$D$13:$D$30</definedName>
    <definedName name="OSRRefD13x_0" localSheetId="56">'324'!$D$13:$D$16</definedName>
    <definedName name="OSRRefD13x_0" localSheetId="59">'326'!$D$13:$D$30</definedName>
    <definedName name="OSRRefD13x_0" localSheetId="52">'330'!$D$13:$D$21</definedName>
    <definedName name="OSRRefD13x_0" localSheetId="57">'331'!$D$13:$D$48</definedName>
    <definedName name="OSRRefD13x_0" localSheetId="60">'332'!$D$13:$D$19</definedName>
    <definedName name="OSRRefD13x_0" localSheetId="78">'414'!$D$13</definedName>
    <definedName name="OSRRefD13x_0" localSheetId="79">'415'!$D$13:$D$14</definedName>
    <definedName name="OSRRefD13x_0" localSheetId="87">'433'!$D$13:$D$15</definedName>
    <definedName name="OSRRefD13x_0" localSheetId="89">'444'!$D$13:$D$15</definedName>
    <definedName name="OSRRefD13x_0" localSheetId="72">'491'!$D$13:$D$15</definedName>
    <definedName name="OSRRefD13x_0" localSheetId="85">'492'!$D$13:$D$15</definedName>
    <definedName name="OSRRefD13x_0" localSheetId="92">'501'!$D$13</definedName>
    <definedName name="OSRRefD13x_0" localSheetId="47">'Div 3'!$D$13:$D$62</definedName>
    <definedName name="OSRRefD13x_0" localSheetId="70">'Div 4'!$D$13:$D$17</definedName>
    <definedName name="OSRRefD13x_0" localSheetId="91">'Div 5'!$D$13</definedName>
    <definedName name="OSRRefD13x_0" localSheetId="62">'Div 6'!$D$13:$D$30</definedName>
    <definedName name="OSRRefD13x_0" localSheetId="2">Summary!$D$13:$D$81</definedName>
    <definedName name="OSRRefD16x_0" localSheetId="48">'300'!$D$65:$D$92</definedName>
    <definedName name="OSRRefD16x_0" localSheetId="49">'300 &amp; 317'!$D$79:$D$112</definedName>
    <definedName name="OSRRefD16x_0" localSheetId="53">'307'!$D$15</definedName>
    <definedName name="OSRRefD16x_0" localSheetId="54">'308'!$D$31:$D$43</definedName>
    <definedName name="OSRRefD16x_0" localSheetId="64">'310'!$D$19</definedName>
    <definedName name="OSRRefD16x_0" localSheetId="71">'310 &amp; 491'!$D$22:$D$23</definedName>
    <definedName name="OSRRefD16x_0" localSheetId="55">'311'!$D$31:$D$43</definedName>
    <definedName name="OSRRefD16x_0" localSheetId="58">'315'!$D$51:$D$66</definedName>
    <definedName name="OSRRefD16x_0" localSheetId="63">'317'!$D$33:$D$42</definedName>
    <definedName name="OSRRefD16x_0" localSheetId="68">'322'!$D$15</definedName>
    <definedName name="OSRRefD16x_0" localSheetId="56">'324'!$D$19:$D$21</definedName>
    <definedName name="OSRRefD16x_0" localSheetId="69">'325'!$D$15</definedName>
    <definedName name="OSRRefD16x_0" localSheetId="59">'326'!$D$33</definedName>
    <definedName name="OSRRefD16x_0" localSheetId="52">'330'!$D$24:$D$25</definedName>
    <definedName name="OSRRefD16x_0" localSheetId="57">'331'!$D$51:$D$66</definedName>
    <definedName name="OSRRefD16x_0" localSheetId="60">'332'!$D$22:$D$23</definedName>
    <definedName name="OSRRefD16x_0" localSheetId="79">'415'!$D$17:$D$18</definedName>
    <definedName name="OSRRefD16x_0" localSheetId="83">'425'!$D$15</definedName>
    <definedName name="OSRRefD16x_0" localSheetId="87">'433'!$D$18:$D$19</definedName>
    <definedName name="OSRRefD16x_0" localSheetId="89">'444'!$D$18:$D$19</definedName>
    <definedName name="OSRRefD16x_0" localSheetId="72">'491'!$D$18:$D$19</definedName>
    <definedName name="OSRRefD16x_0" localSheetId="85">'492'!$D$18:$D$19</definedName>
    <definedName name="OSRRefD16x_0" localSheetId="47">'Div 3'!$D$65:$D$93</definedName>
    <definedName name="OSRRefD16x_0" localSheetId="70">'Div 4'!$D$20:$D$21</definedName>
    <definedName name="OSRRefD16x_0" localSheetId="62">'Div 6'!$D$33:$D$42</definedName>
    <definedName name="OSRRefD16x_0" localSheetId="2">Summary!$D$84:$D$119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'300'!$D$98:$D$107</definedName>
    <definedName name="OSRRefD22_0x_0" localSheetId="49">'300 &amp; 317'!$D$118:$D$127</definedName>
    <definedName name="OSRRefD22_0x_0" localSheetId="50">'301'!$D$20:$D$29</definedName>
    <definedName name="OSRRefD22_0x_0" localSheetId="51">'306'!$D$20:$D$23</definedName>
    <definedName name="OSRRefD22_0x_0" localSheetId="53">'307'!$D$21</definedName>
    <definedName name="OSRRefD22_0x_0" localSheetId="54">'308'!$D$49:$D$57</definedName>
    <definedName name="OSRRefD22_0x_0" localSheetId="65">'309'!$D$20</definedName>
    <definedName name="OSRRefD22_0x_0" localSheetId="64">'310'!$D$25:$D$32</definedName>
    <definedName name="OSRRefD22_0x_0" localSheetId="71">'310 &amp; 491'!$D$29:$D$36</definedName>
    <definedName name="OSRRefD22_0x_0" localSheetId="55">'311'!$D$49:$D$57</definedName>
    <definedName name="OSRRefD22_0x_0" localSheetId="66">'313'!$D$24:$D$31</definedName>
    <definedName name="OSRRefD22_0x_0" localSheetId="58">'315'!$D$72:$D$79</definedName>
    <definedName name="OSRRefD22_0x_0" localSheetId="61">'316'!$D$27:$D$34</definedName>
    <definedName name="OSRRefD22_0x_0" localSheetId="63">'317'!$D$48:$D$56</definedName>
    <definedName name="OSRRefD22_0x_0" localSheetId="67">'321'!$D$20:$D$23</definedName>
    <definedName name="OSRRefD22_0x_0" localSheetId="68">'322'!$D$21:$D$25</definedName>
    <definedName name="OSRRefD22_0x_0" localSheetId="69">'325'!$D$21:$D$25</definedName>
    <definedName name="OSRRefD22_0x_0" localSheetId="59">'326'!$D$39:$D$46</definedName>
    <definedName name="OSRRefD22_0x_0" localSheetId="52">'330'!$D$31</definedName>
    <definedName name="OSRRefD22_0x_0" localSheetId="57">'331'!$D$72:$D$79</definedName>
    <definedName name="OSRRefD22_0x_0" localSheetId="60">'332'!$D$29:$D$36</definedName>
    <definedName name="OSRRefD22_0x_0" localSheetId="73">'405'!$D$20:$D$27</definedName>
    <definedName name="OSRRefD22_0x_0" localSheetId="74">'406'!$D$20</definedName>
    <definedName name="OSRRefD22_0x_0" localSheetId="75">'411'!$D$20:$D$27</definedName>
    <definedName name="OSRRefD22_0x_0" localSheetId="76">'412'!$D$20</definedName>
    <definedName name="OSRRefD22_0x_0" localSheetId="77">'413'!$D$20:$D$24</definedName>
    <definedName name="OSRRefD22_0x_0" localSheetId="78">'414'!$D$21</definedName>
    <definedName name="OSRRefD22_0x_0" localSheetId="79">'415'!$D$24:$D$31</definedName>
    <definedName name="OSRRefD22_0x_0" localSheetId="80">'418'!$D$20:$D$27</definedName>
    <definedName name="OSRRefD22_0x_0" localSheetId="81">'423'!$D$20:$D$21</definedName>
    <definedName name="OSRRefD22_0x_0" localSheetId="82">'424'!$D$20</definedName>
    <definedName name="OSRRefD22_0x_0" localSheetId="83">'425'!$D$21:$D$25</definedName>
    <definedName name="OSRRefD22_0x_0" localSheetId="86">'430'!$D$20:$D$27</definedName>
    <definedName name="OSRRefD22_0x_0" localSheetId="87">'433'!$D$25:$D$33</definedName>
    <definedName name="OSRRefD22_0x_0" localSheetId="88">'435'!$D$20</definedName>
    <definedName name="OSRRefD22_0x_0" localSheetId="89">'444'!$D$25:$D$33</definedName>
    <definedName name="OSRRefD22_0x_0" localSheetId="90">'450'!$D$20:$D$28</definedName>
    <definedName name="OSRRefD22_0x_0" localSheetId="72">'491'!$D$25:$D$32</definedName>
    <definedName name="OSRRefD22_0x_0" localSheetId="85">'492'!$D$25:$D$33</definedName>
    <definedName name="OSRRefD22_0x_0" localSheetId="92">'501'!$D$21:$D$28</definedName>
    <definedName name="OSRRefD22_0x_0" localSheetId="39">'Div 2'!$D$20:$D$29</definedName>
    <definedName name="OSRRefD22_0x_0" localSheetId="47">'Div 3'!$D$99:$D$108</definedName>
    <definedName name="OSRRefD22_0x_0" localSheetId="70">'Div 4'!$D$27:$D$35</definedName>
    <definedName name="OSRRefD22_0x_0" localSheetId="91">'Div 5'!$D$21:$D$28</definedName>
    <definedName name="OSRRefD22_0x_0" localSheetId="62">'Div 6'!$D$48:$D$56</definedName>
    <definedName name="OSRRefD22_0x_0" localSheetId="2">Summary!$D$125:$D$134</definedName>
    <definedName name="OSRRefD22_10x_0" localSheetId="41">'201'!$D$49</definedName>
    <definedName name="OSRRefD22_10x_0" localSheetId="42">'202'!$D$49</definedName>
    <definedName name="OSRRefD22_10x_0" localSheetId="48">'300'!$D$136</definedName>
    <definedName name="OSRRefD22_10x_0" localSheetId="49">'300 &amp; 317'!$D$156</definedName>
    <definedName name="OSRRefD22_10x_0" localSheetId="50">'301'!$D$56</definedName>
    <definedName name="OSRRefD22_10x_0" localSheetId="54">'308'!$D$83</definedName>
    <definedName name="OSRRefD22_10x_0" localSheetId="64">'310'!$D$55</definedName>
    <definedName name="OSRRefD22_10x_0" localSheetId="71">'310 &amp; 491'!$D$61</definedName>
    <definedName name="OSRRefD22_10x_0" localSheetId="55">'311'!$D$83</definedName>
    <definedName name="OSRRefD22_10x_0" localSheetId="58">'315'!$D$108</definedName>
    <definedName name="OSRRefD22_10x_0" localSheetId="59">'326'!$D$71</definedName>
    <definedName name="OSRRefD22_10x_0" localSheetId="57">'331'!$D$105</definedName>
    <definedName name="OSRRefD22_10x_0" localSheetId="75">'411'!$D$50</definedName>
    <definedName name="OSRRefD22_10x_0" localSheetId="79">'415'!$D$55:$D$56</definedName>
    <definedName name="OSRRefD22_10x_0" localSheetId="87">'433'!$D$61</definedName>
    <definedName name="OSRRefD22_10x_0" localSheetId="89">'444'!$D$59:$D$61</definedName>
    <definedName name="OSRRefD22_10x_0" localSheetId="72">'491'!$D$57</definedName>
    <definedName name="OSRRefD22_10x_0" localSheetId="85">'492'!$D$57:$D$59</definedName>
    <definedName name="OSRRefD22_10x_0" localSheetId="39">'Div 2'!$D$54:$D$55</definedName>
    <definedName name="OSRRefD22_10x_0" localSheetId="47">'Div 3'!$D$137</definedName>
    <definedName name="OSRRefD22_10x_0" localSheetId="70">'Div 4'!$D$60</definedName>
    <definedName name="OSRRefD22_10x_0" localSheetId="2">Summary!$D$163</definedName>
    <definedName name="OSRRefD22_11x_0" localSheetId="48">'300'!$D$138</definedName>
    <definedName name="OSRRefD22_11x_0" localSheetId="49">'300 &amp; 317'!$D$158</definedName>
    <definedName name="OSRRefD22_11x_0" localSheetId="50">'301'!$D$58</definedName>
    <definedName name="OSRRefD22_11x_0" localSheetId="54">'308'!$D$85:$D$86</definedName>
    <definedName name="OSRRefD22_11x_0" localSheetId="64">'310'!$D$57</definedName>
    <definedName name="OSRRefD22_11x_0" localSheetId="71">'310 &amp; 491'!$D$63:$D$64</definedName>
    <definedName name="OSRRefD22_11x_0" localSheetId="55">'311'!$D$85:$D$86</definedName>
    <definedName name="OSRRefD22_11x_0" localSheetId="59">'326'!$D$73:$D$75</definedName>
    <definedName name="OSRRefD22_11x_0" localSheetId="57">'331'!$D$107:$D$108</definedName>
    <definedName name="OSRRefD22_11x_0" localSheetId="75">'411'!$D$52</definedName>
    <definedName name="OSRRefD22_11x_0" localSheetId="79">'415'!$D$58:$D$60</definedName>
    <definedName name="OSRRefD22_11x_0" localSheetId="89">'444'!$D$63</definedName>
    <definedName name="OSRRefD22_11x_0" localSheetId="72">'491'!$D$59:$D$60</definedName>
    <definedName name="OSRRefD22_11x_0" localSheetId="85">'492'!$D$61:$D$63</definedName>
    <definedName name="OSRRefD22_11x_0" localSheetId="39">'Div 2'!$D$57:$D$59</definedName>
    <definedName name="OSRRefD22_11x_0" localSheetId="47">'Div 3'!$D$139</definedName>
    <definedName name="OSRRefD22_11x_0" localSheetId="70">'Div 4'!$D$62</definedName>
    <definedName name="OSRRefD22_11x_0" localSheetId="2">Summary!$D$165</definedName>
    <definedName name="OSRRefD22_12x_0" localSheetId="48">'300'!$D$140:$D$141</definedName>
    <definedName name="OSRRefD22_12x_0" localSheetId="49">'300 &amp; 317'!$D$160:$D$161</definedName>
    <definedName name="OSRRefD22_12x_0" localSheetId="50">'301'!$D$60:$D$62</definedName>
    <definedName name="OSRRefD22_12x_0" localSheetId="54">'308'!$D$88:$D$89</definedName>
    <definedName name="OSRRefD22_12x_0" localSheetId="71">'310 &amp; 491'!$D$66:$D$69</definedName>
    <definedName name="OSRRefD22_12x_0" localSheetId="55">'311'!$D$88:$D$89</definedName>
    <definedName name="OSRRefD22_12x_0" localSheetId="59">'326'!$D$77</definedName>
    <definedName name="OSRRefD22_12x_0" localSheetId="57">'331'!$D$110:$D$111</definedName>
    <definedName name="OSRRefD22_12x_0" localSheetId="75">'411'!$D$54</definedName>
    <definedName name="OSRRefD22_12x_0" localSheetId="79">'415'!$D$62</definedName>
    <definedName name="OSRRefD22_12x_0" localSheetId="72">'491'!$D$62:$D$65</definedName>
    <definedName name="OSRRefD22_12x_0" localSheetId="85">'492'!$D$65:$D$69</definedName>
    <definedName name="OSRRefD22_12x_0" localSheetId="39">'Div 2'!$D$61</definedName>
    <definedName name="OSRRefD22_12x_0" localSheetId="47">'Div 3'!$D$141</definedName>
    <definedName name="OSRRefD22_12x_0" localSheetId="70">'Div 4'!$D$64:$D$66</definedName>
    <definedName name="OSRRefD22_12x_0" localSheetId="2">Summary!$D$167</definedName>
    <definedName name="OSRRefD22_13x_0" localSheetId="48">'300'!$D$143</definedName>
    <definedName name="OSRRefD22_13x_0" localSheetId="49">'300 &amp; 317'!$D$163</definedName>
    <definedName name="OSRRefD22_13x_0" localSheetId="50">'301'!$D$64:$D$66</definedName>
    <definedName name="OSRRefD22_13x_0" localSheetId="54">'308'!$D$91</definedName>
    <definedName name="OSRRefD22_13x_0" localSheetId="71">'310 &amp; 491'!$D$71</definedName>
    <definedName name="OSRRefD22_13x_0" localSheetId="55">'311'!$D$91</definedName>
    <definedName name="OSRRefD22_13x_0" localSheetId="59">'326'!$D$79</definedName>
    <definedName name="OSRRefD22_13x_0" localSheetId="57">'331'!$D$113</definedName>
    <definedName name="OSRRefD22_13x_0" localSheetId="79">'415'!$D$64:$D$68</definedName>
    <definedName name="OSRRefD22_13x_0" localSheetId="72">'491'!$D$67</definedName>
    <definedName name="OSRRefD22_13x_0" localSheetId="85">'492'!$D$71</definedName>
    <definedName name="OSRRefD22_13x_0" localSheetId="39">'Div 2'!$D$63</definedName>
    <definedName name="OSRRefD22_13x_0" localSheetId="47">'Div 3'!$D$143:$D$144</definedName>
    <definedName name="OSRRefD22_13x_0" localSheetId="70">'Div 4'!$D$68:$D$71</definedName>
    <definedName name="OSRRefD22_13x_0" localSheetId="2">Summary!$D$169:$D$170</definedName>
    <definedName name="OSRRefD22_14x_0" localSheetId="48">'300'!$D$145:$D$147</definedName>
    <definedName name="OSRRefD22_14x_0" localSheetId="49">'300 &amp; 317'!$D$165:$D$167</definedName>
    <definedName name="OSRRefD22_14x_0" localSheetId="50">'301'!$D$68:$D$71</definedName>
    <definedName name="OSRRefD22_14x_0" localSheetId="71">'310 &amp; 491'!$D$73:$D$77</definedName>
    <definedName name="OSRRefD22_14x_0" localSheetId="59">'326'!$D$81</definedName>
    <definedName name="OSRRefD22_14x_0" localSheetId="57">'331'!$D$115:$D$118</definedName>
    <definedName name="OSRRefD22_14x_0" localSheetId="79">'415'!$D$70</definedName>
    <definedName name="OSRRefD22_14x_0" localSheetId="72">'491'!$D$69:$D$73</definedName>
    <definedName name="OSRRefD22_14x_0" localSheetId="39">'Div 2'!$D$65:$D$68</definedName>
    <definedName name="OSRRefD22_14x_0" localSheetId="47">'Div 3'!$D$146</definedName>
    <definedName name="OSRRefD22_14x_0" localSheetId="70">'Div 4'!$D$73</definedName>
    <definedName name="OSRRefD22_14x_0" localSheetId="2">Summary!$D$172</definedName>
    <definedName name="OSRRefD22_15x_0" localSheetId="48">'300'!$D$149:$D$151</definedName>
    <definedName name="OSRRefD22_15x_0" localSheetId="49">'300 &amp; 317'!$D$169:$D$171</definedName>
    <definedName name="OSRRefD22_15x_0" localSheetId="50">'301'!$D$73</definedName>
    <definedName name="OSRRefD22_15x_0" localSheetId="71">'310 &amp; 491'!$D$79</definedName>
    <definedName name="OSRRefD22_15x_0" localSheetId="57">'331'!$D$120</definedName>
    <definedName name="OSRRefD22_15x_0" localSheetId="79">'415'!$D$72</definedName>
    <definedName name="OSRRefD22_15x_0" localSheetId="72">'491'!$D$75</definedName>
    <definedName name="OSRRefD22_15x_0" localSheetId="39">'Div 2'!$D$70:$D$71</definedName>
    <definedName name="OSRRefD22_15x_0" localSheetId="47">'Div 3'!$D$148:$D$150</definedName>
    <definedName name="OSRRefD22_15x_0" localSheetId="70">'Div 4'!$D$75:$D$79</definedName>
    <definedName name="OSRRefD22_15x_0" localSheetId="2">Summary!$D$174</definedName>
    <definedName name="OSRRefD22_16x_0" localSheetId="48">'300'!$D$153:$D$156</definedName>
    <definedName name="OSRRefD22_16x_0" localSheetId="49">'300 &amp; 317'!$D$173:$D$176</definedName>
    <definedName name="OSRRefD22_16x_0" localSheetId="50">'301'!$D$75</definedName>
    <definedName name="OSRRefD22_16x_0" localSheetId="71">'310 &amp; 491'!$D$81</definedName>
    <definedName name="OSRRefD22_16x_0" localSheetId="57">'331'!$D$122</definedName>
    <definedName name="OSRRefD22_16x_0" localSheetId="72">'491'!$D$77</definedName>
    <definedName name="OSRRefD22_16x_0" localSheetId="39">'Div 2'!$D$73</definedName>
    <definedName name="OSRRefD22_16x_0" localSheetId="47">'Div 3'!$D$152:$D$154</definedName>
    <definedName name="OSRRefD22_16x_0" localSheetId="70">'Div 4'!$D$81</definedName>
    <definedName name="OSRRefD22_16x_0" localSheetId="2">Summary!$D$176:$D$178</definedName>
    <definedName name="OSRRefD22_17x_0" localSheetId="48">'300'!$D$158:$D$159</definedName>
    <definedName name="OSRRefD22_17x_0" localSheetId="49">'300 &amp; 317'!$D$178:$D$179</definedName>
    <definedName name="OSRRefD22_17x_0" localSheetId="50">'301'!$D$77:$D$78</definedName>
    <definedName name="OSRRefD22_17x_0" localSheetId="71">'310 &amp; 491'!$D$83</definedName>
    <definedName name="OSRRefD22_17x_0" localSheetId="57">'331'!$D$124</definedName>
    <definedName name="OSRRefD22_17x_0" localSheetId="72">'491'!$D$79</definedName>
    <definedName name="OSRRefD22_17x_0" localSheetId="47">'Div 3'!$D$156:$D$159</definedName>
    <definedName name="OSRRefD22_17x_0" localSheetId="70">'Div 4'!$D$83</definedName>
    <definedName name="OSRRefD22_17x_0" localSheetId="2">Summary!$D$180:$D$182</definedName>
    <definedName name="OSRRefD22_18x_0" localSheetId="48">'300'!$D$161:$D$166</definedName>
    <definedName name="OSRRefD22_18x_0" localSheetId="49">'300 &amp; 317'!$D$181:$D$186</definedName>
    <definedName name="OSRRefD22_18x_0" localSheetId="50">'301'!$D$80</definedName>
    <definedName name="OSRRefD22_18x_0" localSheetId="47">'Div 3'!$D$161:$D$162</definedName>
    <definedName name="OSRRefD22_18x_0" localSheetId="70">'Div 4'!$D$85</definedName>
    <definedName name="OSRRefD22_18x_0" localSheetId="2">Summary!$D$184:$D$188</definedName>
    <definedName name="OSRRefD22_19x_0" localSheetId="48">'300'!$D$168:$D$169</definedName>
    <definedName name="OSRRefD22_19x_0" localSheetId="49">'300 &amp; 317'!$D$188:$D$189</definedName>
    <definedName name="OSRRefD22_19x_0" localSheetId="47">'Div 3'!$D$164:$D$169</definedName>
    <definedName name="OSRRefD22_19x_0" localSheetId="2">Summary!$D$190:$D$191</definedName>
    <definedName name="OSRRefD22_1x_0" localSheetId="40">'200'!$D$22</definedName>
    <definedName name="OSRRefD22_1x_0" localSheetId="41">'201'!$D$29:$D$30</definedName>
    <definedName name="OSRRefD22_1x_0" localSheetId="42">'202'!$D$29</definedName>
    <definedName name="OSRRefD22_1x_0" localSheetId="43">'203'!$D$30:$D$33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'300'!$D$109:$D$115</definedName>
    <definedName name="OSRRefD22_1x_0" localSheetId="49">'300 &amp; 317'!$D$129:$D$135</definedName>
    <definedName name="OSRRefD22_1x_0" localSheetId="50">'301'!$D$31:$D$37</definedName>
    <definedName name="OSRRefD22_1x_0" localSheetId="51">'306'!$D$25:$D$26</definedName>
    <definedName name="OSRRefD22_1x_0" localSheetId="53">'307'!$D$23</definedName>
    <definedName name="OSRRefD22_1x_0" localSheetId="54">'308'!$D$59:$D$64</definedName>
    <definedName name="OSRRefD22_1x_0" localSheetId="65">'309'!$D$22</definedName>
    <definedName name="OSRRefD22_1x_0" localSheetId="64">'310'!$D$34</definedName>
    <definedName name="OSRRefD22_1x_0" localSheetId="71">'310 &amp; 491'!$D$38:$D$42</definedName>
    <definedName name="OSRRefD22_1x_0" localSheetId="55">'311'!$D$59:$D$64</definedName>
    <definedName name="OSRRefD22_1x_0" localSheetId="66">'313'!$D$33</definedName>
    <definedName name="OSRRefD22_1x_0" localSheetId="58">'315'!$D$81:$D$85</definedName>
    <definedName name="OSRRefD22_1x_0" localSheetId="61">'316'!$D$36:$D$37</definedName>
    <definedName name="OSRRefD22_1x_0" localSheetId="63">'317'!$D$58:$D$60</definedName>
    <definedName name="OSRRefD22_1x_0" localSheetId="67">'321'!$D$25</definedName>
    <definedName name="OSRRefD22_1x_0" localSheetId="68">'322'!$D$27</definedName>
    <definedName name="OSRRefD22_1x_0" localSheetId="69">'325'!$D$27</definedName>
    <definedName name="OSRRefD22_1x_0" localSheetId="59">'326'!$D$48:$D$52</definedName>
    <definedName name="OSRRefD22_1x_0" localSheetId="52">'330'!$D$33</definedName>
    <definedName name="OSRRefD22_1x_0" localSheetId="57">'331'!$D$81:$D$85</definedName>
    <definedName name="OSRRefD22_1x_0" localSheetId="60">'332'!$D$38:$D$39</definedName>
    <definedName name="OSRRefD22_1x_0" localSheetId="73">'405'!$D$29:$D$30</definedName>
    <definedName name="OSRRefD22_1x_0" localSheetId="74">'406'!$D$22</definedName>
    <definedName name="OSRRefD22_1x_0" localSheetId="75">'411'!$D$29:$D$30</definedName>
    <definedName name="OSRRefD22_1x_0" localSheetId="76">'412'!$D$22</definedName>
    <definedName name="OSRRefD22_1x_0" localSheetId="77">'413'!$D$26</definedName>
    <definedName name="OSRRefD22_1x_0" localSheetId="78">'414'!$D$23</definedName>
    <definedName name="OSRRefD22_1x_0" localSheetId="79">'415'!$D$33:$D$36</definedName>
    <definedName name="OSRRefD22_1x_0" localSheetId="80">'418'!$D$29:$D$32</definedName>
    <definedName name="OSRRefD22_1x_0" localSheetId="81">'423'!$D$23</definedName>
    <definedName name="OSRRefD22_1x_0" localSheetId="82">'424'!$D$22</definedName>
    <definedName name="OSRRefD22_1x_0" localSheetId="83">'425'!$D$27</definedName>
    <definedName name="OSRRefD22_1x_0" localSheetId="86">'430'!$D$29</definedName>
    <definedName name="OSRRefD22_1x_0" localSheetId="87">'433'!$D$35:$D$37</definedName>
    <definedName name="OSRRefD22_1x_0" localSheetId="89">'444'!$D$35:$D$38</definedName>
    <definedName name="OSRRefD22_1x_0" localSheetId="90">'450'!$D$30:$D$32</definedName>
    <definedName name="OSRRefD22_1x_0" localSheetId="72">'491'!$D$34:$D$38</definedName>
    <definedName name="OSRRefD22_1x_0" localSheetId="85">'492'!$D$35:$D$39</definedName>
    <definedName name="OSRRefD22_1x_0" localSheetId="92">'501'!$D$30:$D$33</definedName>
    <definedName name="OSRRefD22_1x_0" localSheetId="39">'Div 2'!$D$31:$D$36</definedName>
    <definedName name="OSRRefD22_1x_0" localSheetId="47">'Div 3'!$D$110:$D$116</definedName>
    <definedName name="OSRRefD22_1x_0" localSheetId="70">'Div 4'!$D$37:$D$41</definedName>
    <definedName name="OSRRefD22_1x_0" localSheetId="91">'Div 5'!$D$30:$D$33</definedName>
    <definedName name="OSRRefD22_1x_0" localSheetId="62">'Div 6'!$D$58:$D$60</definedName>
    <definedName name="OSRRefD22_1x_0" localSheetId="2">Summary!$D$136:$D$142</definedName>
    <definedName name="OSRRefD22_20x_0" localSheetId="48">'300'!$D$171</definedName>
    <definedName name="OSRRefD22_20x_0" localSheetId="49">'300 &amp; 317'!$D$191</definedName>
    <definedName name="OSRRefD22_20x_0" localSheetId="47">'Div 3'!$D$171:$D$172</definedName>
    <definedName name="OSRRefD22_20x_0" localSheetId="2">Summary!$D$193:$D$199</definedName>
    <definedName name="OSRRefD22_21x_0" localSheetId="48">'300'!$D$173:$D$175</definedName>
    <definedName name="OSRRefD22_21x_0" localSheetId="49">'300 &amp; 317'!$D$193:$D$195</definedName>
    <definedName name="OSRRefD22_21x_0" localSheetId="47">'Div 3'!$D$174</definedName>
    <definedName name="OSRRefD22_21x_0" localSheetId="2">Summary!$D$201:$D$202</definedName>
    <definedName name="OSRRefD22_22x_0" localSheetId="48">'300'!$D$177</definedName>
    <definedName name="OSRRefD22_22x_0" localSheetId="49">'300 &amp; 317'!$D$197</definedName>
    <definedName name="OSRRefD22_22x_0" localSheetId="47">'Div 3'!$D$176:$D$178</definedName>
    <definedName name="OSRRefD22_22x_0" localSheetId="2">Summary!$D$204</definedName>
    <definedName name="OSRRefD22_23x_0" localSheetId="47">'Div 3'!$D$180</definedName>
    <definedName name="OSRRefD22_23x_0" localSheetId="2">Summary!$D$206:$D$208</definedName>
    <definedName name="OSRRefD22_24x_0" localSheetId="2">Summary!$D$210</definedName>
    <definedName name="OSRRefD22_2x_0" localSheetId="40">'200'!$D$24</definedName>
    <definedName name="OSRRefD22_2x_0" localSheetId="41">'201'!$D$32</definedName>
    <definedName name="OSRRefD22_2x_0" localSheetId="42">'202'!$D$31</definedName>
    <definedName name="OSRRefD22_2x_0" localSheetId="43">'203'!$D$35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'300'!$D$117</definedName>
    <definedName name="OSRRefD22_2x_0" localSheetId="49">'300 &amp; 317'!$D$137</definedName>
    <definedName name="OSRRefD22_2x_0" localSheetId="50">'301'!$D$39</definedName>
    <definedName name="OSRRefD22_2x_0" localSheetId="51">'306'!$D$28</definedName>
    <definedName name="OSRRefD22_2x_0" localSheetId="53">'307'!$D$25</definedName>
    <definedName name="OSRRefD22_2x_0" localSheetId="54">'308'!$D$66</definedName>
    <definedName name="OSRRefD22_2x_0" localSheetId="65">'309'!$D$24:$D$25</definedName>
    <definedName name="OSRRefD22_2x_0" localSheetId="64">'310'!$D$36</definedName>
    <definedName name="OSRRefD22_2x_0" localSheetId="71">'310 &amp; 491'!$D$44</definedName>
    <definedName name="OSRRefD22_2x_0" localSheetId="55">'311'!$D$66</definedName>
    <definedName name="OSRRefD22_2x_0" localSheetId="66">'313'!$D$35</definedName>
    <definedName name="OSRRefD22_2x_0" localSheetId="58">'315'!$D$87</definedName>
    <definedName name="OSRRefD22_2x_0" localSheetId="61">'316'!$D$39</definedName>
    <definedName name="OSRRefD22_2x_0" localSheetId="63">'317'!$D$62</definedName>
    <definedName name="OSRRefD22_2x_0" localSheetId="67">'321'!$D$27</definedName>
    <definedName name="OSRRefD22_2x_0" localSheetId="68">'322'!$D$29</definedName>
    <definedName name="OSRRefD22_2x_0" localSheetId="69">'325'!$D$29</definedName>
    <definedName name="OSRRefD22_2x_0" localSheetId="59">'326'!$D$54</definedName>
    <definedName name="OSRRefD22_2x_0" localSheetId="52">'330'!$D$35</definedName>
    <definedName name="OSRRefD22_2x_0" localSheetId="57">'331'!$D$87</definedName>
    <definedName name="OSRRefD22_2x_0" localSheetId="60">'332'!$D$41</definedName>
    <definedName name="OSRRefD22_2x_0" localSheetId="73">'405'!$D$32</definedName>
    <definedName name="OSRRefD22_2x_0" localSheetId="74">'406'!$D$24</definedName>
    <definedName name="OSRRefD22_2x_0" localSheetId="75">'411'!$D$32</definedName>
    <definedName name="OSRRefD22_2x_0" localSheetId="76">'412'!$D$24</definedName>
    <definedName name="OSRRefD22_2x_0" localSheetId="77">'413'!$D$28</definedName>
    <definedName name="OSRRefD22_2x_0" localSheetId="79">'415'!$D$38</definedName>
    <definedName name="OSRRefD22_2x_0" localSheetId="80">'418'!$D$34</definedName>
    <definedName name="OSRRefD22_2x_0" localSheetId="81">'423'!$D$25</definedName>
    <definedName name="OSRRefD22_2x_0" localSheetId="82">'424'!$D$24</definedName>
    <definedName name="OSRRefD22_2x_0" localSheetId="83">'425'!$D$29</definedName>
    <definedName name="OSRRefD22_2x_0" localSheetId="86">'430'!$D$31</definedName>
    <definedName name="OSRRefD22_2x_0" localSheetId="87">'433'!$D$39</definedName>
    <definedName name="OSRRefD22_2x_0" localSheetId="89">'444'!$D$40</definedName>
    <definedName name="OSRRefD22_2x_0" localSheetId="90">'450'!$D$34</definedName>
    <definedName name="OSRRefD22_2x_0" localSheetId="72">'491'!$D$40</definedName>
    <definedName name="OSRRefD22_2x_0" localSheetId="85">'492'!$D$41</definedName>
    <definedName name="OSRRefD22_2x_0" localSheetId="92">'501'!$D$35</definedName>
    <definedName name="OSRRefD22_2x_0" localSheetId="39">'Div 2'!$D$38</definedName>
    <definedName name="OSRRefD22_2x_0" localSheetId="47">'Div 3'!$D$118</definedName>
    <definedName name="OSRRefD22_2x_0" localSheetId="70">'Div 4'!$D$43</definedName>
    <definedName name="OSRRefD22_2x_0" localSheetId="91">'Div 5'!$D$35</definedName>
    <definedName name="OSRRefD22_2x_0" localSheetId="62">'Div 6'!$D$62</definedName>
    <definedName name="OSRRefD22_2x_0" localSheetId="2">Summary!$D$144</definedName>
    <definedName name="OSRRefD22_3x_0" localSheetId="41">'201'!$D$34</definedName>
    <definedName name="OSRRefD22_3x_0" localSheetId="42">'202'!$D$33</definedName>
    <definedName name="OSRRefD22_3x_0" localSheetId="43">'203'!$D$37</definedName>
    <definedName name="OSRRefD22_3x_0" localSheetId="44">'204'!$D$36</definedName>
    <definedName name="OSRRefD22_3x_0" localSheetId="45">'205'!$D$33:$D$34</definedName>
    <definedName name="OSRRefD22_3x_0" localSheetId="46">'206'!$D$34</definedName>
    <definedName name="OSRRefD22_3x_0" localSheetId="48">'300'!$D$119</definedName>
    <definedName name="OSRRefD22_3x_0" localSheetId="49">'300 &amp; 317'!$D$139</definedName>
    <definedName name="OSRRefD22_3x_0" localSheetId="50">'301'!$D$41</definedName>
    <definedName name="OSRRefD22_3x_0" localSheetId="51">'306'!$D$30</definedName>
    <definedName name="OSRRefD22_3x_0" localSheetId="53">'307'!$D$27:$D$28</definedName>
    <definedName name="OSRRefD22_3x_0" localSheetId="54">'308'!$D$68</definedName>
    <definedName name="OSRRefD22_3x_0" localSheetId="65">'309'!$D$27</definedName>
    <definedName name="OSRRefD22_3x_0" localSheetId="64">'310'!$D$38:$D$39</definedName>
    <definedName name="OSRRefD22_3x_0" localSheetId="71">'310 &amp; 491'!$D$46</definedName>
    <definedName name="OSRRefD22_3x_0" localSheetId="55">'311'!$D$68</definedName>
    <definedName name="OSRRefD22_3x_0" localSheetId="66">'313'!$D$37</definedName>
    <definedName name="OSRRefD22_3x_0" localSheetId="58">'315'!$D$89</definedName>
    <definedName name="OSRRefD22_3x_0" localSheetId="61">'316'!$D$41</definedName>
    <definedName name="OSRRefD22_3x_0" localSheetId="63">'317'!$D$64</definedName>
    <definedName name="OSRRefD22_3x_0" localSheetId="67">'321'!$D$29</definedName>
    <definedName name="OSRRefD22_3x_0" localSheetId="68">'322'!$D$31</definedName>
    <definedName name="OSRRefD22_3x_0" localSheetId="69">'325'!$D$31:$D$32</definedName>
    <definedName name="OSRRefD22_3x_0" localSheetId="59">'326'!$D$56</definedName>
    <definedName name="OSRRefD22_3x_0" localSheetId="52">'330'!$D$37</definedName>
    <definedName name="OSRRefD22_3x_0" localSheetId="57">'331'!$D$89</definedName>
    <definedName name="OSRRefD22_3x_0" localSheetId="60">'332'!$D$43</definedName>
    <definedName name="OSRRefD22_3x_0" localSheetId="73">'405'!$D$34:$D$35</definedName>
    <definedName name="OSRRefD22_3x_0" localSheetId="74">'406'!$D$26</definedName>
    <definedName name="OSRRefD22_3x_0" localSheetId="75">'411'!$D$34:$D$35</definedName>
    <definedName name="OSRRefD22_3x_0" localSheetId="76">'412'!$D$26</definedName>
    <definedName name="OSRRefD22_3x_0" localSheetId="77">'413'!$D$30</definedName>
    <definedName name="OSRRefD22_3x_0" localSheetId="79">'415'!$D$40</definedName>
    <definedName name="OSRRefD22_3x_0" localSheetId="80">'418'!$D$36</definedName>
    <definedName name="OSRRefD22_3x_0" localSheetId="83">'425'!$D$31</definedName>
    <definedName name="OSRRefD22_3x_0" localSheetId="86">'430'!$D$33</definedName>
    <definedName name="OSRRefD22_3x_0" localSheetId="87">'433'!$D$41</definedName>
    <definedName name="OSRRefD22_3x_0" localSheetId="89">'444'!$D$42</definedName>
    <definedName name="OSRRefD22_3x_0" localSheetId="90">'450'!$D$36</definedName>
    <definedName name="OSRRefD22_3x_0" localSheetId="72">'491'!$D$42</definedName>
    <definedName name="OSRRefD22_3x_0" localSheetId="85">'492'!$D$43</definedName>
    <definedName name="OSRRefD22_3x_0" localSheetId="92">'501'!$D$37</definedName>
    <definedName name="OSRRefD22_3x_0" localSheetId="39">'Div 2'!$D$40</definedName>
    <definedName name="OSRRefD22_3x_0" localSheetId="47">'Div 3'!$D$120</definedName>
    <definedName name="OSRRefD22_3x_0" localSheetId="70">'Div 4'!$D$45</definedName>
    <definedName name="OSRRefD22_3x_0" localSheetId="91">'Div 5'!$D$37</definedName>
    <definedName name="OSRRefD22_3x_0" localSheetId="62">'Div 6'!$D$64</definedName>
    <definedName name="OSRRefD22_3x_0" localSheetId="2">Summary!$D$146</definedName>
    <definedName name="OSRRefD22_4x_0" localSheetId="41">'201'!$D$36</definedName>
    <definedName name="OSRRefD22_4x_0" localSheetId="42">'202'!$D$35</definedName>
    <definedName name="OSRRefD22_4x_0" localSheetId="43">'203'!$D$39</definedName>
    <definedName name="OSRRefD22_4x_0" localSheetId="44">'204'!$D$38:$D$39</definedName>
    <definedName name="OSRRefD22_4x_0" localSheetId="45">'205'!$D$36</definedName>
    <definedName name="OSRRefD22_4x_0" localSheetId="46">'206'!$D$36</definedName>
    <definedName name="OSRRefD22_4x_0" localSheetId="48">'300'!$D$121</definedName>
    <definedName name="OSRRefD22_4x_0" localSheetId="49">'300 &amp; 317'!$D$141</definedName>
    <definedName name="OSRRefD22_4x_0" localSheetId="50">'301'!$D$43:$D$44</definedName>
    <definedName name="OSRRefD22_4x_0" localSheetId="53">'307'!$D$30</definedName>
    <definedName name="OSRRefD22_4x_0" localSheetId="54">'308'!$D$70</definedName>
    <definedName name="OSRRefD22_4x_0" localSheetId="64">'310'!$D$41</definedName>
    <definedName name="OSRRefD22_4x_0" localSheetId="71">'310 &amp; 491'!$D$48</definedName>
    <definedName name="OSRRefD22_4x_0" localSheetId="55">'311'!$D$70</definedName>
    <definedName name="OSRRefD22_4x_0" localSheetId="58">'315'!$D$91</definedName>
    <definedName name="OSRRefD22_4x_0" localSheetId="61">'316'!$D$43:$D$44</definedName>
    <definedName name="OSRRefD22_4x_0" localSheetId="63">'317'!$D$66</definedName>
    <definedName name="OSRRefD22_4x_0" localSheetId="67">'321'!$D$31</definedName>
    <definedName name="OSRRefD22_4x_0" localSheetId="68">'322'!$D$33</definedName>
    <definedName name="OSRRefD22_4x_0" localSheetId="69">'325'!$D$34</definedName>
    <definedName name="OSRRefD22_4x_0" localSheetId="59">'326'!$D$58</definedName>
    <definedName name="OSRRefD22_4x_0" localSheetId="52">'330'!$D$39</definedName>
    <definedName name="OSRRefD22_4x_0" localSheetId="57">'331'!$D$91</definedName>
    <definedName name="OSRRefD22_4x_0" localSheetId="60">'332'!$D$45:$D$46</definedName>
    <definedName name="OSRRefD22_4x_0" localSheetId="73">'405'!$D$37</definedName>
    <definedName name="OSRRefD22_4x_0" localSheetId="75">'411'!$D$37</definedName>
    <definedName name="OSRRefD22_4x_0" localSheetId="77">'413'!$D$32</definedName>
    <definedName name="OSRRefD22_4x_0" localSheetId="79">'415'!$D$42</definedName>
    <definedName name="OSRRefD22_4x_0" localSheetId="80">'418'!$D$38:$D$39</definedName>
    <definedName name="OSRRefD22_4x_0" localSheetId="86">'430'!$D$35</definedName>
    <definedName name="OSRRefD22_4x_0" localSheetId="87">'433'!$D$43</definedName>
    <definedName name="OSRRefD22_4x_0" localSheetId="89">'444'!$D$44</definedName>
    <definedName name="OSRRefD22_4x_0" localSheetId="90">'450'!$D$38</definedName>
    <definedName name="OSRRefD22_4x_0" localSheetId="72">'491'!$D$44</definedName>
    <definedName name="OSRRefD22_4x_0" localSheetId="85">'492'!$D$45</definedName>
    <definedName name="OSRRefD22_4x_0" localSheetId="92">'501'!$D$39</definedName>
    <definedName name="OSRRefD22_4x_0" localSheetId="39">'Div 2'!$D$42</definedName>
    <definedName name="OSRRefD22_4x_0" localSheetId="47">'Div 3'!$D$122</definedName>
    <definedName name="OSRRefD22_4x_0" localSheetId="70">'Div 4'!$D$47</definedName>
    <definedName name="OSRRefD22_4x_0" localSheetId="91">'Div 5'!$D$39</definedName>
    <definedName name="OSRRefD22_4x_0" localSheetId="62">'Div 6'!$D$66</definedName>
    <definedName name="OSRRefD22_4x_0" localSheetId="2">Summary!$D$148</definedName>
    <definedName name="OSRRefD22_5x_0" localSheetId="41">'201'!$D$38</definedName>
    <definedName name="OSRRefD22_5x_0" localSheetId="42">'202'!$D$37</definedName>
    <definedName name="OSRRefD22_5x_0" localSheetId="43">'203'!$D$41:$D$42</definedName>
    <definedName name="OSRRefD22_5x_0" localSheetId="44">'204'!$D$41</definedName>
    <definedName name="OSRRefD22_5x_0" localSheetId="48">'300'!$D$123:$D$124</definedName>
    <definedName name="OSRRefD22_5x_0" localSheetId="49">'300 &amp; 317'!$D$143:$D$144</definedName>
    <definedName name="OSRRefD22_5x_0" localSheetId="50">'301'!$D$46</definedName>
    <definedName name="OSRRefD22_5x_0" localSheetId="53">'307'!$D$32</definedName>
    <definedName name="OSRRefD22_5x_0" localSheetId="54">'308'!$D$72</definedName>
    <definedName name="OSRRefD22_5x_0" localSheetId="64">'310'!$D$43</definedName>
    <definedName name="OSRRefD22_5x_0" localSheetId="71">'310 &amp; 491'!$D$50:$D$51</definedName>
    <definedName name="OSRRefD22_5x_0" localSheetId="55">'311'!$D$72</definedName>
    <definedName name="OSRRefD22_5x_0" localSheetId="58">'315'!$D$93:$D$94</definedName>
    <definedName name="OSRRefD22_5x_0" localSheetId="61">'316'!$D$46:$D$47</definedName>
    <definedName name="OSRRefD22_5x_0" localSheetId="63">'317'!$D$68:$D$69</definedName>
    <definedName name="OSRRefD22_5x_0" localSheetId="67">'321'!$D$33</definedName>
    <definedName name="OSRRefD22_5x_0" localSheetId="69">'325'!$D$36</definedName>
    <definedName name="OSRRefD22_5x_0" localSheetId="59">'326'!$D$60</definedName>
    <definedName name="OSRRefD22_5x_0" localSheetId="52">'330'!$D$41</definedName>
    <definedName name="OSRRefD22_5x_0" localSheetId="57">'331'!$D$93</definedName>
    <definedName name="OSRRefD22_5x_0" localSheetId="60">'332'!$D$48:$D$49</definedName>
    <definedName name="OSRRefD22_5x_0" localSheetId="73">'405'!$D$39</definedName>
    <definedName name="OSRRefD22_5x_0" localSheetId="75">'411'!$D$39</definedName>
    <definedName name="OSRRefD22_5x_0" localSheetId="79">'415'!$D$44:$D$45</definedName>
    <definedName name="OSRRefD22_5x_0" localSheetId="80">'418'!$D$41</definedName>
    <definedName name="OSRRefD22_5x_0" localSheetId="86">'430'!$D$37</definedName>
    <definedName name="OSRRefD22_5x_0" localSheetId="87">'433'!$D$45</definedName>
    <definedName name="OSRRefD22_5x_0" localSheetId="89">'444'!$D$46</definedName>
    <definedName name="OSRRefD22_5x_0" localSheetId="90">'450'!$D$40</definedName>
    <definedName name="OSRRefD22_5x_0" localSheetId="72">'491'!$D$46:$D$47</definedName>
    <definedName name="OSRRefD22_5x_0" localSheetId="85">'492'!$D$47</definedName>
    <definedName name="OSRRefD22_5x_0" localSheetId="92">'501'!$D$41</definedName>
    <definedName name="OSRRefD22_5x_0" localSheetId="39">'Div 2'!$D$44</definedName>
    <definedName name="OSRRefD22_5x_0" localSheetId="47">'Div 3'!$D$124:$D$125</definedName>
    <definedName name="OSRRefD22_5x_0" localSheetId="70">'Div 4'!$D$49:$D$50</definedName>
    <definedName name="OSRRefD22_5x_0" localSheetId="91">'Div 5'!$D$41</definedName>
    <definedName name="OSRRefD22_5x_0" localSheetId="62">'Div 6'!$D$68:$D$69</definedName>
    <definedName name="OSRRefD22_5x_0" localSheetId="2">Summary!$D$150:$D$151</definedName>
    <definedName name="OSRRefD22_6x_0" localSheetId="41">'201'!$D$40</definedName>
    <definedName name="OSRRefD22_6x_0" localSheetId="42">'202'!$D$39:$D$40</definedName>
    <definedName name="OSRRefD22_6x_0" localSheetId="43">'203'!$D$44</definedName>
    <definedName name="OSRRefD22_6x_0" localSheetId="44">'204'!$D$43:$D$44</definedName>
    <definedName name="OSRRefD22_6x_0" localSheetId="48">'300'!$D$126:$D$127</definedName>
    <definedName name="OSRRefD22_6x_0" localSheetId="49">'300 &amp; 317'!$D$146:$D$147</definedName>
    <definedName name="OSRRefD22_6x_0" localSheetId="50">'301'!$D$48</definedName>
    <definedName name="OSRRefD22_6x_0" localSheetId="54">'308'!$D$74</definedName>
    <definedName name="OSRRefD22_6x_0" localSheetId="64">'310'!$D$45</definedName>
    <definedName name="OSRRefD22_6x_0" localSheetId="71">'310 &amp; 491'!$D$53</definedName>
    <definedName name="OSRRefD22_6x_0" localSheetId="55">'311'!$D$74</definedName>
    <definedName name="OSRRefD22_6x_0" localSheetId="58">'315'!$D$96:$D$97</definedName>
    <definedName name="OSRRefD22_6x_0" localSheetId="61">'316'!$D$49</definedName>
    <definedName name="OSRRefD22_6x_0" localSheetId="63">'317'!$D$71</definedName>
    <definedName name="OSRRefD22_6x_0" localSheetId="67">'321'!$D$35:$D$36</definedName>
    <definedName name="OSRRefD22_6x_0" localSheetId="69">'325'!$D$38</definedName>
    <definedName name="OSRRefD22_6x_0" localSheetId="59">'326'!$D$62</definedName>
    <definedName name="OSRRefD22_6x_0" localSheetId="52">'330'!$D$43:$D$44</definedName>
    <definedName name="OSRRefD22_6x_0" localSheetId="57">'331'!$D$95</definedName>
    <definedName name="OSRRefD22_6x_0" localSheetId="60">'332'!$D$51</definedName>
    <definedName name="OSRRefD22_6x_0" localSheetId="73">'405'!$D$41</definedName>
    <definedName name="OSRRefD22_6x_0" localSheetId="75">'411'!$D$41</definedName>
    <definedName name="OSRRefD22_6x_0" localSheetId="79">'415'!$D$47</definedName>
    <definedName name="OSRRefD22_6x_0" localSheetId="80">'418'!$D$43</definedName>
    <definedName name="OSRRefD22_6x_0" localSheetId="87">'433'!$D$47</definedName>
    <definedName name="OSRRefD22_6x_0" localSheetId="89">'444'!$D$48</definedName>
    <definedName name="OSRRefD22_6x_0" localSheetId="90">'450'!$D$42:$D$43</definedName>
    <definedName name="OSRRefD22_6x_0" localSheetId="72">'491'!$D$49</definedName>
    <definedName name="OSRRefD22_6x_0" localSheetId="85">'492'!$D$49</definedName>
    <definedName name="OSRRefD22_6x_0" localSheetId="92">'501'!$D$43</definedName>
    <definedName name="OSRRefD22_6x_0" localSheetId="39">'Div 2'!$D$46</definedName>
    <definedName name="OSRRefD22_6x_0" localSheetId="47">'Div 3'!$D$127:$D$128</definedName>
    <definedName name="OSRRefD22_6x_0" localSheetId="70">'Div 4'!$D$52</definedName>
    <definedName name="OSRRefD22_6x_0" localSheetId="91">'Div 5'!$D$43</definedName>
    <definedName name="OSRRefD22_6x_0" localSheetId="62">'Div 6'!$D$71</definedName>
    <definedName name="OSRRefD22_6x_0" localSheetId="2">Summary!$D$153:$D$154</definedName>
    <definedName name="OSRRefD22_7x_0" localSheetId="41">'201'!$D$42</definedName>
    <definedName name="OSRRefD22_7x_0" localSheetId="42">'202'!$D$42</definedName>
    <definedName name="OSRRefD22_7x_0" localSheetId="43">'203'!$D$46</definedName>
    <definedName name="OSRRefD22_7x_0" localSheetId="48">'300'!$D$129</definedName>
    <definedName name="OSRRefD22_7x_0" localSheetId="49">'300 &amp; 317'!$D$149</definedName>
    <definedName name="OSRRefD22_7x_0" localSheetId="50">'301'!$D$50</definedName>
    <definedName name="OSRRefD22_7x_0" localSheetId="54">'308'!$D$76</definedName>
    <definedName name="OSRRefD22_7x_0" localSheetId="64">'310'!$D$47</definedName>
    <definedName name="OSRRefD22_7x_0" localSheetId="71">'310 &amp; 491'!$D$55</definedName>
    <definedName name="OSRRefD22_7x_0" localSheetId="55">'311'!$D$76</definedName>
    <definedName name="OSRRefD22_7x_0" localSheetId="58">'315'!$D$99:$D$100</definedName>
    <definedName name="OSRRefD22_7x_0" localSheetId="61">'316'!$D$51:$D$55</definedName>
    <definedName name="OSRRefD22_7x_0" localSheetId="63">'317'!$D$73</definedName>
    <definedName name="OSRRefD22_7x_0" localSheetId="67">'321'!$D$38</definedName>
    <definedName name="OSRRefD22_7x_0" localSheetId="69">'325'!$D$40</definedName>
    <definedName name="OSRRefD22_7x_0" localSheetId="59">'326'!$D$64</definedName>
    <definedName name="OSRRefD22_7x_0" localSheetId="52">'330'!$D$46</definedName>
    <definedName name="OSRRefD22_7x_0" localSheetId="57">'331'!$D$97:$D$98</definedName>
    <definedName name="OSRRefD22_7x_0" localSheetId="60">'332'!$D$53:$D$57</definedName>
    <definedName name="OSRRefD22_7x_0" localSheetId="73">'405'!$D$43</definedName>
    <definedName name="OSRRefD22_7x_0" localSheetId="75">'411'!$D$43:$D$44</definedName>
    <definedName name="OSRRefD22_7x_0" localSheetId="79">'415'!$D$49</definedName>
    <definedName name="OSRRefD22_7x_0" localSheetId="80">'418'!$D$45</definedName>
    <definedName name="OSRRefD22_7x_0" localSheetId="87">'433'!$D$49</definedName>
    <definedName name="OSRRefD22_7x_0" localSheetId="89">'444'!$D$50</definedName>
    <definedName name="OSRRefD22_7x_0" localSheetId="90">'450'!$D$45</definedName>
    <definedName name="OSRRefD22_7x_0" localSheetId="72">'491'!$D$51</definedName>
    <definedName name="OSRRefD22_7x_0" localSheetId="85">'492'!$D$51</definedName>
    <definedName name="OSRRefD22_7x_0" localSheetId="92">'501'!$D$45</definedName>
    <definedName name="OSRRefD22_7x_0" localSheetId="39">'Div 2'!$D$48</definedName>
    <definedName name="OSRRefD22_7x_0" localSheetId="47">'Div 3'!$D$130</definedName>
    <definedName name="OSRRefD22_7x_0" localSheetId="70">'Div 4'!$D$54</definedName>
    <definedName name="OSRRefD22_7x_0" localSheetId="91">'Div 5'!$D$45</definedName>
    <definedName name="OSRRefD22_7x_0" localSheetId="62">'Div 6'!$D$73</definedName>
    <definedName name="OSRRefD22_7x_0" localSheetId="2">Summary!$D$156</definedName>
    <definedName name="OSRRefD22_8x_0" localSheetId="41">'201'!$D$44</definedName>
    <definedName name="OSRRefD22_8x_0" localSheetId="42">'202'!$D$44:$D$45</definedName>
    <definedName name="OSRRefD22_8x_0" localSheetId="43">'203'!$D$48:$D$51</definedName>
    <definedName name="OSRRefD22_8x_0" localSheetId="48">'300'!$D$131</definedName>
    <definedName name="OSRRefD22_8x_0" localSheetId="49">'300 &amp; 317'!$D$151</definedName>
    <definedName name="OSRRefD22_8x_0" localSheetId="50">'301'!$D$52</definedName>
    <definedName name="OSRRefD22_8x_0" localSheetId="54">'308'!$D$78</definedName>
    <definedName name="OSRRefD22_8x_0" localSheetId="64">'310'!$D$49:$D$50</definedName>
    <definedName name="OSRRefD22_8x_0" localSheetId="71">'310 &amp; 491'!$D$57</definedName>
    <definedName name="OSRRefD22_8x_0" localSheetId="55">'311'!$D$78</definedName>
    <definedName name="OSRRefD22_8x_0" localSheetId="58">'315'!$D$102:$D$104</definedName>
    <definedName name="OSRRefD22_8x_0" localSheetId="61">'316'!$D$57</definedName>
    <definedName name="OSRRefD22_8x_0" localSheetId="63">'317'!$D$75:$D$77</definedName>
    <definedName name="OSRRefD22_8x_0" localSheetId="67">'321'!$D$40</definedName>
    <definedName name="OSRRefD22_8x_0" localSheetId="69">'325'!$D$42</definedName>
    <definedName name="OSRRefD22_8x_0" localSheetId="59">'326'!$D$66</definedName>
    <definedName name="OSRRefD22_8x_0" localSheetId="52">'330'!$D$48</definedName>
    <definedName name="OSRRefD22_8x_0" localSheetId="57">'331'!$D$100</definedName>
    <definedName name="OSRRefD22_8x_0" localSheetId="60">'332'!$D$59</definedName>
    <definedName name="OSRRefD22_8x_0" localSheetId="73">'405'!$D$45</definedName>
    <definedName name="OSRRefD22_8x_0" localSheetId="75">'411'!$D$46</definedName>
    <definedName name="OSRRefD22_8x_0" localSheetId="79">'415'!$D$51</definedName>
    <definedName name="OSRRefD22_8x_0" localSheetId="80">'418'!$D$47</definedName>
    <definedName name="OSRRefD22_8x_0" localSheetId="87">'433'!$D$51:$D$53</definedName>
    <definedName name="OSRRefD22_8x_0" localSheetId="89">'444'!$D$52:$D$53</definedName>
    <definedName name="OSRRefD22_8x_0" localSheetId="90">'450'!$D$47</definedName>
    <definedName name="OSRRefD22_8x_0" localSheetId="72">'491'!$D$53</definedName>
    <definedName name="OSRRefD22_8x_0" localSheetId="85">'492'!$D$53</definedName>
    <definedName name="OSRRefD22_8x_0" localSheetId="39">'Div 2'!$D$50</definedName>
    <definedName name="OSRRefD22_8x_0" localSheetId="47">'Div 3'!$D$132</definedName>
    <definedName name="OSRRefD22_8x_0" localSheetId="70">'Div 4'!$D$56</definedName>
    <definedName name="OSRRefD22_8x_0" localSheetId="62">'Div 6'!$D$75:$D$77</definedName>
    <definedName name="OSRRefD22_8x_0" localSheetId="2">Summary!$D$158</definedName>
    <definedName name="OSRRefD22_9x_0" localSheetId="41">'201'!$D$46:$D$47</definedName>
    <definedName name="OSRRefD22_9x_0" localSheetId="42">'202'!$D$47</definedName>
    <definedName name="OSRRefD22_9x_0" localSheetId="43">'203'!$D$53</definedName>
    <definedName name="OSRRefD22_9x_0" localSheetId="48">'300'!$D$133:$D$134</definedName>
    <definedName name="OSRRefD22_9x_0" localSheetId="49">'300 &amp; 317'!$D$153:$D$154</definedName>
    <definedName name="OSRRefD22_9x_0" localSheetId="50">'301'!$D$54</definedName>
    <definedName name="OSRRefD22_9x_0" localSheetId="54">'308'!$D$80:$D$81</definedName>
    <definedName name="OSRRefD22_9x_0" localSheetId="64">'310'!$D$52:$D$53</definedName>
    <definedName name="OSRRefD22_9x_0" localSheetId="71">'310 &amp; 491'!$D$59</definedName>
    <definedName name="OSRRefD22_9x_0" localSheetId="55">'311'!$D$80:$D$81</definedName>
    <definedName name="OSRRefD22_9x_0" localSheetId="58">'315'!$D$106</definedName>
    <definedName name="OSRRefD22_9x_0" localSheetId="63">'317'!$D$79</definedName>
    <definedName name="OSRRefD22_9x_0" localSheetId="69">'325'!$D$44</definedName>
    <definedName name="OSRRefD22_9x_0" localSheetId="59">'326'!$D$68:$D$69</definedName>
    <definedName name="OSRRefD22_9x_0" localSheetId="57">'331'!$D$102:$D$103</definedName>
    <definedName name="OSRRefD22_9x_0" localSheetId="73">'405'!$D$47</definedName>
    <definedName name="OSRRefD22_9x_0" localSheetId="75">'411'!$D$48</definedName>
    <definedName name="OSRRefD22_9x_0" localSheetId="79">'415'!$D$53</definedName>
    <definedName name="OSRRefD22_9x_0" localSheetId="80">'418'!$D$49</definedName>
    <definedName name="OSRRefD22_9x_0" localSheetId="87">'433'!$D$55:$D$59</definedName>
    <definedName name="OSRRefD22_9x_0" localSheetId="89">'444'!$D$55:$D$57</definedName>
    <definedName name="OSRRefD22_9x_0" localSheetId="72">'491'!$D$55</definedName>
    <definedName name="OSRRefD22_9x_0" localSheetId="85">'492'!$D$55</definedName>
    <definedName name="OSRRefD22_9x_0" localSheetId="39">'Div 2'!$D$52</definedName>
    <definedName name="OSRRefD22_9x_0" localSheetId="47">'Div 3'!$D$134:$D$135</definedName>
    <definedName name="OSRRefD22_9x_0" localSheetId="70">'Div 4'!$D$58</definedName>
    <definedName name="OSRRefD22_9x_0" localSheetId="62">'Div 6'!$D$79</definedName>
    <definedName name="OSRRefD22_9x_0" localSheetId="2">Summary!$D$160:$D$161</definedName>
    <definedName name="OSRRefD22x_0" localSheetId="40">'200'!$D$20,'200'!$D$22,'200'!$D$24</definedName>
    <definedName name="OSRRefD22x_0" localSheetId="41">'201'!$D$20:$D$27,'201'!$D$29:$D$30,'201'!$D$32,'201'!$D$34,'201'!$D$36,'201'!$D$38,'201'!$D$40,'201'!$D$42,'201'!$D$44,'201'!$D$46:$D$47,'201'!$D$49</definedName>
    <definedName name="OSRRefD22x_0" localSheetId="42">'202'!$D$20:$D$27,'202'!$D$29,'202'!$D$31,'202'!$D$33,'202'!$D$35,'202'!$D$37,'202'!$D$39:$D$40,'202'!$D$42,'202'!$D$44:$D$45,'202'!$D$47,'202'!$D$49</definedName>
    <definedName name="OSRRefD22x_0" localSheetId="43">'203'!$D$20:$D$28,'203'!$D$30:$D$33,'203'!$D$35,'203'!$D$37,'203'!$D$39,'203'!$D$41:$D$42,'203'!$D$44,'203'!$D$46,'203'!$D$48:$D$51,'203'!$D$53</definedName>
    <definedName name="OSRRefD22x_0" localSheetId="44">'204'!$D$20:$D$28,'204'!$D$30:$D$32,'204'!$D$34,'204'!$D$36,'204'!$D$38:$D$39,'204'!$D$41,'204'!$D$43:$D$44</definedName>
    <definedName name="OSRRefD22x_0" localSheetId="45">'205'!$D$20:$D$27,'205'!$D$29,'205'!$D$31,'205'!$D$33:$D$34,'205'!$D$36</definedName>
    <definedName name="OSRRefD22x_0" localSheetId="46">'206'!$D$20:$D$26,'206'!$D$28:$D$30,'206'!$D$32,'206'!$D$34,'206'!$D$36</definedName>
    <definedName name="OSRRefD22x_0" localSheetId="48">'300'!$D$98:$D$107,'300'!$D$109:$D$115,'300'!$D$117,'300'!$D$119,'300'!$D$121,'300'!$D$123:$D$124,'300'!$D$126:$D$127,'300'!$D$129,'300'!$D$131,'300'!$D$133:$D$134,'300'!$D$136,'300'!$D$138,'300'!$D$140:$D$141,'300'!$D$143,'300'!$D$145:$D$147,'300'!$D$149:$D$151,'300'!$D$153:$D$156,'300'!$D$158:$D$159,'300'!$D$161:$D$166,'300'!$D$168:$D$169,'300'!$D$171,'300'!$D$173:$D$175,'300'!$D$177</definedName>
    <definedName name="OSRRefD22x_0" localSheetId="49">'300 &amp; 317'!$D$118:$D$127,'300 &amp; 317'!$D$129:$D$135,'300 &amp; 317'!$D$137,'300 &amp; 317'!$D$139,'300 &amp; 317'!$D$141,'300 &amp; 317'!$D$143:$D$144,'300 &amp; 317'!$D$146:$D$147,'300 &amp; 317'!$D$149,'300 &amp; 317'!$D$151,'300 &amp; 317'!$D$153:$D$154,'300 &amp; 317'!$D$156,'300 &amp; 317'!$D$158,'300 &amp; 317'!$D$160:$D$161,'300 &amp; 317'!$D$163,'300 &amp; 317'!$D$165:$D$167,'300 &amp; 317'!$D$169:$D$171,'300 &amp; 317'!$D$173:$D$176,'300 &amp; 317'!$D$178:$D$179,'300 &amp; 317'!$D$181:$D$186,'300 &amp; 317'!$D$188:$D$189,'300 &amp; 317'!$D$191,'300 &amp; 317'!$D$193:$D$195,'300 &amp; 317'!$D$197</definedName>
    <definedName name="OSRRefD22x_0" localSheetId="50">'301'!$D$20:$D$29,'301'!$D$31:$D$37,'301'!$D$39,'301'!$D$41,'301'!$D$43:$D$44,'301'!$D$46,'301'!$D$48,'301'!$D$50,'301'!$D$52,'301'!$D$54,'301'!$D$56,'301'!$D$58,'301'!$D$60:$D$62,'301'!$D$64:$D$66,'301'!$D$68:$D$71,'301'!$D$73,'301'!$D$75,'301'!$D$77:$D$78,'301'!$D$80</definedName>
    <definedName name="OSRRefD22x_0" localSheetId="51">'306'!$D$20:$D$23,'306'!$D$25:$D$26,'306'!$D$28,'306'!$D$30</definedName>
    <definedName name="OSRRefD22x_0" localSheetId="53">'307'!$D$21,'307'!$D$23,'307'!$D$25,'307'!$D$27:$D$28,'307'!$D$30,'307'!$D$32</definedName>
    <definedName name="OSRRefD22x_0" localSheetId="54">'308'!$D$49:$D$57,'308'!$D$59:$D$64,'308'!$D$66,'308'!$D$68,'308'!$D$70,'308'!$D$72,'308'!$D$74,'308'!$D$76,'308'!$D$78,'308'!$D$80:$D$81,'308'!$D$83,'308'!$D$85:$D$86,'308'!$D$88:$D$89,'308'!$D$91</definedName>
    <definedName name="OSRRefD22x_0" localSheetId="65">'309'!$D$20,'309'!$D$22,'309'!$D$24:$D$25,'309'!$D$27</definedName>
    <definedName name="OSRRefD22x_0" localSheetId="64">'310'!$D$25:$D$32,'310'!$D$34,'310'!$D$36,'310'!$D$38:$D$39,'310'!$D$41,'310'!$D$43,'310'!$D$45,'310'!$D$47,'310'!$D$49:$D$50,'310'!$D$52:$D$53,'310'!$D$55,'310'!$D$57</definedName>
    <definedName name="OSRRefD22x_0" localSheetId="71">'310 &amp; 491'!$D$29:$D$36,'310 &amp; 491'!$D$38:$D$42,'310 &amp; 491'!$D$44,'310 &amp; 491'!$D$46,'310 &amp; 491'!$D$48,'310 &amp; 491'!$D$50:$D$51,'310 &amp; 491'!$D$53,'310 &amp; 491'!$D$55,'310 &amp; 491'!$D$57,'310 &amp; 491'!$D$59,'310 &amp; 491'!$D$61,'310 &amp; 491'!$D$63:$D$64,'310 &amp; 491'!$D$66:$D$69,'310 &amp; 491'!$D$71,'310 &amp; 491'!$D$73:$D$77,'310 &amp; 491'!$D$79,'310 &amp; 491'!$D$81,'310 &amp; 491'!$D$83</definedName>
    <definedName name="OSRRefD22x_0" localSheetId="55">'311'!$D$49:$D$57,'311'!$D$59:$D$64,'311'!$D$66,'311'!$D$68,'311'!$D$70,'311'!$D$72,'311'!$D$74,'311'!$D$76,'311'!$D$78,'311'!$D$80:$D$81,'311'!$D$83,'311'!$D$85:$D$86,'311'!$D$88:$D$89,'311'!$D$91</definedName>
    <definedName name="OSRRefD22x_0" localSheetId="66">'313'!$D$24:$D$31,'313'!$D$33,'313'!$D$35,'313'!$D$37</definedName>
    <definedName name="OSRRefD22x_0" localSheetId="58">'315'!$D$72:$D$79,'315'!$D$81:$D$85,'315'!$D$87,'315'!$D$89,'315'!$D$91,'315'!$D$93:$D$94,'315'!$D$96:$D$97,'315'!$D$99:$D$100,'315'!$D$102:$D$104,'315'!$D$106,'315'!$D$108</definedName>
    <definedName name="OSRRefD22x_0" localSheetId="61">'316'!$D$27:$D$34,'316'!$D$36:$D$37,'316'!$D$39,'316'!$D$41,'316'!$D$43:$D$44,'316'!$D$46:$D$47,'316'!$D$49,'316'!$D$51:$D$55,'316'!$D$57</definedName>
    <definedName name="OSRRefD22x_0" localSheetId="63">'317'!$D$48:$D$56,'317'!$D$58:$D$60,'317'!$D$62,'317'!$D$64,'317'!$D$66,'317'!$D$68:$D$69,'317'!$D$71,'317'!$D$73,'317'!$D$75:$D$77,'317'!$D$79</definedName>
    <definedName name="OSRRefD22x_0" localSheetId="67">'321'!$D$20:$D$23,'321'!$D$25,'321'!$D$27,'321'!$D$29,'321'!$D$31,'321'!$D$33,'321'!$D$35:$D$36,'321'!$D$38,'321'!$D$40</definedName>
    <definedName name="OSRRefD22x_0" localSheetId="68">'322'!$D$21:$D$25,'322'!$D$27,'322'!$D$29,'322'!$D$31,'322'!$D$33</definedName>
    <definedName name="OSRRefD22x_0" localSheetId="69">'325'!$D$21:$D$25,'325'!$D$27,'325'!$D$29,'325'!$D$31:$D$32,'325'!$D$34,'325'!$D$36,'325'!$D$38,'325'!$D$40,'325'!$D$42,'325'!$D$44</definedName>
    <definedName name="OSRRefD22x_0" localSheetId="59">'326'!$D$39:$D$46,'326'!$D$48:$D$52,'326'!$D$54,'326'!$D$56,'326'!$D$58,'326'!$D$60,'326'!$D$62,'326'!$D$64,'326'!$D$66,'326'!$D$68:$D$69,'326'!$D$71,'326'!$D$73:$D$75,'326'!$D$77,'326'!$D$79,'326'!$D$81</definedName>
    <definedName name="OSRRefD22x_0" localSheetId="52">'330'!$D$31,'330'!$D$33,'330'!$D$35,'330'!$D$37,'330'!$D$39,'330'!$D$41,'330'!$D$43:$D$44,'330'!$D$46,'330'!$D$48</definedName>
    <definedName name="OSRRefD22x_0" localSheetId="57">'331'!$D$72:$D$79,'331'!$D$81:$D$85,'331'!$D$87,'331'!$D$89,'331'!$D$91,'331'!$D$93,'331'!$D$95,'331'!$D$97:$D$98,'331'!$D$100,'331'!$D$102:$D$103,'331'!$D$105,'331'!$D$107:$D$108,'331'!$D$110:$D$111,'331'!$D$113,'331'!$D$115:$D$118,'331'!$D$120,'331'!$D$122,'331'!$D$124</definedName>
    <definedName name="OSRRefD22x_0" localSheetId="60">'332'!$D$29:$D$36,'332'!$D$38:$D$39,'332'!$D$41,'332'!$D$43,'332'!$D$45:$D$46,'332'!$D$48:$D$49,'332'!$D$51,'332'!$D$53:$D$57,'332'!$D$59</definedName>
    <definedName name="OSRRefD22x_0" localSheetId="73">'405'!$D$20:$D$27,'405'!$D$29:$D$30,'405'!$D$32,'405'!$D$34:$D$35,'405'!$D$37,'405'!$D$39,'405'!$D$41,'405'!$D$43,'405'!$D$45,'405'!$D$47</definedName>
    <definedName name="OSRRefD22x_0" localSheetId="74">'406'!$D$20,'406'!$D$22,'406'!$D$24,'406'!$D$26</definedName>
    <definedName name="OSRRefD22x_0" localSheetId="75">'411'!$D$20:$D$27,'411'!$D$29:$D$30,'411'!$D$32,'411'!$D$34:$D$35,'411'!$D$37,'411'!$D$39,'411'!$D$41,'411'!$D$43:$D$44,'411'!$D$46,'411'!$D$48,'411'!$D$50,'411'!$D$52,'411'!$D$54</definedName>
    <definedName name="OSRRefD22x_0" localSheetId="76">'412'!$D$20,'412'!$D$22,'412'!$D$24,'412'!$D$26</definedName>
    <definedName name="OSRRefD22x_0" localSheetId="77">'413'!$D$20:$D$24,'413'!$D$26,'413'!$D$28,'413'!$D$30,'413'!$D$32</definedName>
    <definedName name="OSRRefD22x_0" localSheetId="78">'414'!$D$21,'414'!$D$23</definedName>
    <definedName name="OSRRefD22x_0" localSheetId="79">'415'!$D$24:$D$31,'415'!$D$33:$D$36,'415'!$D$38,'415'!$D$40,'415'!$D$42,'415'!$D$44:$D$45,'415'!$D$47,'415'!$D$49,'415'!$D$51,'415'!$D$53,'415'!$D$55:$D$56,'415'!$D$58:$D$60,'415'!$D$62,'415'!$D$64:$D$68,'415'!$D$70,'415'!$D$72</definedName>
    <definedName name="OSRRefD22x_0" localSheetId="80">'418'!$D$20:$D$27,'418'!$D$29:$D$32,'418'!$D$34,'418'!$D$36,'418'!$D$38:$D$39,'418'!$D$41,'418'!$D$43,'418'!$D$45,'418'!$D$47,'418'!$D$49</definedName>
    <definedName name="OSRRefD22x_0" localSheetId="81">'423'!$D$20:$D$21,'423'!$D$23,'423'!$D$25</definedName>
    <definedName name="OSRRefD22x_0" localSheetId="82">'424'!$D$20,'424'!$D$22,'424'!$D$24</definedName>
    <definedName name="OSRRefD22x_0" localSheetId="83">'425'!$D$21:$D$25,'425'!$D$27,'425'!$D$29,'425'!$D$31</definedName>
    <definedName name="OSRRefD22x_0" localSheetId="86">'430'!$D$20:$D$27,'430'!$D$29,'430'!$D$31,'430'!$D$33,'430'!$D$35,'430'!$D$37</definedName>
    <definedName name="OSRRefD22x_0" localSheetId="87">'433'!$D$25:$D$33,'433'!$D$35:$D$37,'433'!$D$39,'433'!$D$41,'433'!$D$43,'433'!$D$45,'433'!$D$47,'433'!$D$49,'433'!$D$51:$D$53,'433'!$D$55:$D$59,'433'!$D$61</definedName>
    <definedName name="OSRRefD22x_0" localSheetId="88">'435'!$D$20</definedName>
    <definedName name="OSRRefD22x_0" localSheetId="89">'444'!$D$25:$D$33,'444'!$D$35:$D$38,'444'!$D$40,'444'!$D$42,'444'!$D$44,'444'!$D$46,'444'!$D$48,'444'!$D$50,'444'!$D$52:$D$53,'444'!$D$55:$D$57,'444'!$D$59:$D$61,'444'!$D$63</definedName>
    <definedName name="OSRRefD22x_0" localSheetId="90">'450'!$D$20:$D$28,'450'!$D$30:$D$32,'450'!$D$34,'450'!$D$36,'450'!$D$38,'450'!$D$40,'450'!$D$42:$D$43,'450'!$D$45,'450'!$D$47</definedName>
    <definedName name="OSRRefD22x_0" localSheetId="72">'491'!$D$25:$D$32,'491'!$D$34:$D$38,'491'!$D$40,'491'!$D$42,'491'!$D$44,'491'!$D$46:$D$47,'491'!$D$49,'491'!$D$51,'491'!$D$53,'491'!$D$55,'491'!$D$57,'491'!$D$59:$D$60,'491'!$D$62:$D$65,'491'!$D$67,'491'!$D$69:$D$73,'491'!$D$75,'491'!$D$77,'491'!$D$79</definedName>
    <definedName name="OSRRefD22x_0" localSheetId="85">'492'!$D$25:$D$33,'492'!$D$35:$D$39,'492'!$D$41,'492'!$D$43,'492'!$D$45,'492'!$D$47,'492'!$D$49,'492'!$D$51,'492'!$D$53,'492'!$D$55,'492'!$D$57:$D$59,'492'!$D$61:$D$63,'492'!$D$65:$D$69,'492'!$D$71</definedName>
    <definedName name="OSRRefD22x_0" localSheetId="92">'501'!$D$21:$D$28,'501'!$D$30:$D$33,'501'!$D$35,'501'!$D$37,'501'!$D$39,'501'!$D$41,'501'!$D$43,'501'!$D$45</definedName>
    <definedName name="OSRRefD22x_0" localSheetId="39">'Div 2'!$D$20:$D$29,'Div 2'!$D$31:$D$36,'Div 2'!$D$38,'Div 2'!$D$40,'Div 2'!$D$42,'Div 2'!$D$44,'Div 2'!$D$46,'Div 2'!$D$48,'Div 2'!$D$50,'Div 2'!$D$52,'Div 2'!$D$54:$D$55,'Div 2'!$D$57:$D$59,'Div 2'!$D$61,'Div 2'!$D$63,'Div 2'!$D$65:$D$68,'Div 2'!$D$70:$D$71,'Div 2'!$D$73</definedName>
    <definedName name="OSRRefD22x_0" localSheetId="47">'Div 3'!$D$99:$D$108,'Div 3'!$D$110:$D$116,'Div 3'!$D$118,'Div 3'!$D$120,'Div 3'!$D$122,'Div 3'!$D$124:$D$125,'Div 3'!$D$127:$D$128,'Div 3'!$D$130,'Div 3'!$D$132,'Div 3'!$D$134:$D$135,'Div 3'!$D$137,'Div 3'!$D$139,'Div 3'!$D$141,'Div 3'!$D$143:$D$144,'Div 3'!$D$146,'Div 3'!$D$148:$D$150,'Div 3'!$D$152:$D$154,'Div 3'!$D$156:$D$159,'Div 3'!$D$161:$D$162,'Div 3'!$D$164:$D$169,'Div 3'!$D$171:$D$172,'Div 3'!$D$174,'Div 3'!$D$176:$D$178,'Div 3'!$D$180</definedName>
    <definedName name="OSRRefD22x_0" localSheetId="70">'Div 4'!$D$27:$D$35,'Div 4'!$D$37:$D$41,'Div 4'!$D$43,'Div 4'!$D$45,'Div 4'!$D$47,'Div 4'!$D$49:$D$50,'Div 4'!$D$52,'Div 4'!$D$54,'Div 4'!$D$56,'Div 4'!$D$58,'Div 4'!$D$60,'Div 4'!$D$62,'Div 4'!$D$64:$D$66,'Div 4'!$D$68:$D$71,'Div 4'!$D$73,'Div 4'!$D$75:$D$79,'Div 4'!$D$81,'Div 4'!$D$83,'Div 4'!$D$85</definedName>
    <definedName name="OSRRefD22x_0" localSheetId="91">'Div 5'!$D$21:$D$28,'Div 5'!$D$30:$D$33,'Div 5'!$D$35,'Div 5'!$D$37,'Div 5'!$D$39,'Div 5'!$D$41,'Div 5'!$D$43,'Div 5'!$D$45</definedName>
    <definedName name="OSRRefD22x_0" localSheetId="62">'Div 6'!$D$48:$D$56,'Div 6'!$D$58:$D$60,'Div 6'!$D$62,'Div 6'!$D$64,'Div 6'!$D$66,'Div 6'!$D$68:$D$69,'Div 6'!$D$71,'Div 6'!$D$73,'Div 6'!$D$75:$D$77,'Div 6'!$D$79</definedName>
    <definedName name="OSRRefD22x_0" localSheetId="2">Summary!$D$125:$D$134,Summary!$D$136:$D$142,Summary!$D$144,Summary!$D$146,Summary!$D$148,Summary!$D$150:$D$151,Summary!$D$153:$D$154,Summary!$D$156,Summary!$D$158,Summary!$D$160:$D$161,Summary!$D$163,Summary!$D$165,Summary!$D$167,Summary!$D$169:$D$170,Summary!$D$172,Summary!$D$174,Summary!$D$176:$D$178,Summary!$D$180:$D$182,Summary!$D$184:$D$188,Summary!$D$190:$D$191,Summary!$D$193:$D$199,Summary!$D$201:$D$202,Summary!$D$204,Summary!$D$206:$D$208,Summary!$D$210</definedName>
    <definedName name="OSRRefD25x_0" localSheetId="48">'300'!$D$180:$D$182</definedName>
    <definedName name="OSRRefD25x_0" localSheetId="49">'300 &amp; 317'!$D$200:$D$204</definedName>
    <definedName name="OSRRefD25x_0" localSheetId="50">'301'!$D$83</definedName>
    <definedName name="OSRRefD25x_0" localSheetId="54">'308'!$D$94:$D$95</definedName>
    <definedName name="OSRRefD25x_0" localSheetId="71">'310 &amp; 491'!$D$86:$D$88</definedName>
    <definedName name="OSRRefD25x_0" localSheetId="55">'311'!$D$94:$D$95</definedName>
    <definedName name="OSRRefD25x_0" localSheetId="58">'315'!$D$111:$D$112</definedName>
    <definedName name="OSRRefD25x_0" localSheetId="61">'316'!$D$60</definedName>
    <definedName name="OSRRefD25x_0" localSheetId="63">'317'!$D$82:$D$84</definedName>
    <definedName name="OSRRefD25x_0" localSheetId="57">'331'!$D$127:$D$128</definedName>
    <definedName name="OSRRefD25x_0" localSheetId="60">'332'!$D$62:$D$63</definedName>
    <definedName name="OSRRefD25x_0" localSheetId="75">'411'!$D$57</definedName>
    <definedName name="OSRRefD25x_0" localSheetId="79">'415'!$D$75</definedName>
    <definedName name="OSRRefD25x_0" localSheetId="84">'455'!$D$21:$D$22</definedName>
    <definedName name="OSRRefD25x_0" localSheetId="72">'491'!$D$82:$D$84</definedName>
    <definedName name="OSRRefD25x_0" localSheetId="92">'501'!$D$48</definedName>
    <definedName name="OSRRefD25x_0" localSheetId="47">'Div 3'!$D$183:$D$185</definedName>
    <definedName name="OSRRefD25x_0" localSheetId="70">'Div 4'!$D$88:$D$90</definedName>
    <definedName name="OSRRefD25x_0" localSheetId="91">'Div 5'!$D$48</definedName>
    <definedName name="OSRRefD25x_0" localSheetId="62">'Div 6'!$D$82:$D$84</definedName>
    <definedName name="OSRRefD25x_0" localSheetId="2">Summary!$D$213:$D$219</definedName>
    <definedName name="OSRRefH13x_0" localSheetId="48">'300'!$H$13:$H$62</definedName>
    <definedName name="OSRRefH13x_0" localSheetId="49">'300 &amp; 317'!$H$13:$H$76</definedName>
    <definedName name="OSRRefH13x_0" localSheetId="54">'308'!$H$13:$H$28</definedName>
    <definedName name="OSRRefH13x_0" localSheetId="64">'310'!$H$13:$H$16</definedName>
    <definedName name="OSRRefH13x_0" localSheetId="71">'310 &amp; 491'!$H$13:$H$19</definedName>
    <definedName name="OSRRefH13x_0" localSheetId="55">'311'!$H$13:$H$28</definedName>
    <definedName name="OSRRefH13x_0" localSheetId="66">'313'!$H$13:$H$16</definedName>
    <definedName name="OSRRefH13x_0" localSheetId="58">'315'!$H$13:$H$48</definedName>
    <definedName name="OSRRefH13x_0" localSheetId="61">'316'!$H$13:$H$19</definedName>
    <definedName name="OSRRefH13x_0" localSheetId="63">'317'!$H$13:$H$30</definedName>
    <definedName name="OSRRefH13x_0" localSheetId="56">'324'!$H$13:$H$16</definedName>
    <definedName name="OSRRefH13x_0" localSheetId="59">'326'!$H$13:$H$30</definedName>
    <definedName name="OSRRefH13x_0" localSheetId="52">'330'!$H$13:$H$21</definedName>
    <definedName name="OSRRefH13x_0" localSheetId="57">'331'!$H$13:$H$48</definedName>
    <definedName name="OSRRefH13x_0" localSheetId="60">'332'!$H$13:$H$19</definedName>
    <definedName name="OSRRefH13x_0" localSheetId="78">'414'!$H$13</definedName>
    <definedName name="OSRRefH13x_0" localSheetId="79">'415'!$H$13:$H$14</definedName>
    <definedName name="OSRRefH13x_0" localSheetId="87">'433'!$H$13:$H$15</definedName>
    <definedName name="OSRRefH13x_0" localSheetId="89">'444'!$H$13:$H$15</definedName>
    <definedName name="OSRRefH13x_0" localSheetId="72">'491'!$H$13:$H$15</definedName>
    <definedName name="OSRRefH13x_0" localSheetId="85">'492'!$H$13:$H$15</definedName>
    <definedName name="OSRRefH13x_0" localSheetId="92">'501'!$H$13</definedName>
    <definedName name="OSRRefH13x_0" localSheetId="47">'Div 3'!$H$13:$H$62</definedName>
    <definedName name="OSRRefH13x_0" localSheetId="70">'Div 4'!$H$13:$H$17</definedName>
    <definedName name="OSRRefH13x_0" localSheetId="91">'Div 5'!$H$13</definedName>
    <definedName name="OSRRefH13x_0" localSheetId="62">'Div 6'!$H$13:$H$30</definedName>
    <definedName name="OSRRefH13x_0" localSheetId="2">Summary!$H$13:$H$81</definedName>
    <definedName name="OSRRefH16x_0" localSheetId="48">'300'!$H$65:$H$92</definedName>
    <definedName name="OSRRefH16x_0" localSheetId="49">'300 &amp; 317'!$H$79:$H$112</definedName>
    <definedName name="OSRRefH16x_0" localSheetId="53">'307'!$H$15</definedName>
    <definedName name="OSRRefH16x_0" localSheetId="54">'308'!$H$31:$H$43</definedName>
    <definedName name="OSRRefH16x_0" localSheetId="64">'310'!$H$19</definedName>
    <definedName name="OSRRefH16x_0" localSheetId="71">'310 &amp; 491'!$H$22:$H$23</definedName>
    <definedName name="OSRRefH16x_0" localSheetId="55">'311'!$H$31:$H$43</definedName>
    <definedName name="OSRRefH16x_0" localSheetId="58">'315'!$H$51:$H$66</definedName>
    <definedName name="OSRRefH16x_0" localSheetId="63">'317'!$H$33:$H$42</definedName>
    <definedName name="OSRRefH16x_0" localSheetId="68">'322'!$H$15</definedName>
    <definedName name="OSRRefH16x_0" localSheetId="56">'324'!$H$19:$H$21</definedName>
    <definedName name="OSRRefH16x_0" localSheetId="69">'325'!$H$15</definedName>
    <definedName name="OSRRefH16x_0" localSheetId="59">'326'!$H$33</definedName>
    <definedName name="OSRRefH16x_0" localSheetId="52">'330'!$H$24:$H$25</definedName>
    <definedName name="OSRRefH16x_0" localSheetId="57">'331'!$H$51:$H$66</definedName>
    <definedName name="OSRRefH16x_0" localSheetId="60">'332'!$H$22:$H$23</definedName>
    <definedName name="OSRRefH16x_0" localSheetId="79">'415'!$H$17:$H$18</definedName>
    <definedName name="OSRRefH16x_0" localSheetId="83">'425'!$H$15</definedName>
    <definedName name="OSRRefH16x_0" localSheetId="87">'433'!$H$18:$H$19</definedName>
    <definedName name="OSRRefH16x_0" localSheetId="89">'444'!$H$18:$H$19</definedName>
    <definedName name="OSRRefH16x_0" localSheetId="72">'491'!$H$18:$H$19</definedName>
    <definedName name="OSRRefH16x_0" localSheetId="85">'492'!$H$18:$H$19</definedName>
    <definedName name="OSRRefH16x_0" localSheetId="47">'Div 3'!$H$65:$H$93</definedName>
    <definedName name="OSRRefH16x_0" localSheetId="70">'Div 4'!$H$20:$H$21</definedName>
    <definedName name="OSRRefH16x_0" localSheetId="62">'Div 6'!$H$33:$H$42</definedName>
    <definedName name="OSRRefH16x_0" localSheetId="2">Summary!$H$84:$H$119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'300'!$H$98:$H$107</definedName>
    <definedName name="OSRRefH22_0x_0" localSheetId="49">'300 &amp; 317'!$H$118:$H$127</definedName>
    <definedName name="OSRRefH22_0x_0" localSheetId="50">'301'!$H$20:$H$29</definedName>
    <definedName name="OSRRefH22_0x_0" localSheetId="51">'306'!$H$20:$H$23</definedName>
    <definedName name="OSRRefH22_0x_0" localSheetId="53">'307'!$H$21</definedName>
    <definedName name="OSRRefH22_0x_0" localSheetId="54">'308'!$H$49:$H$57</definedName>
    <definedName name="OSRRefH22_0x_0" localSheetId="65">'309'!$H$20</definedName>
    <definedName name="OSRRefH22_0x_0" localSheetId="64">'310'!$H$25:$H$32</definedName>
    <definedName name="OSRRefH22_0x_0" localSheetId="71">'310 &amp; 491'!$H$29:$H$36</definedName>
    <definedName name="OSRRefH22_0x_0" localSheetId="55">'311'!$H$49:$H$57</definedName>
    <definedName name="OSRRefH22_0x_0" localSheetId="66">'313'!$H$24:$H$31</definedName>
    <definedName name="OSRRefH22_0x_0" localSheetId="58">'315'!$H$72:$H$79</definedName>
    <definedName name="OSRRefH22_0x_0" localSheetId="61">'316'!$H$27:$H$34</definedName>
    <definedName name="OSRRefH22_0x_0" localSheetId="63">'317'!$H$48:$H$56</definedName>
    <definedName name="OSRRefH22_0x_0" localSheetId="67">'321'!$H$20:$H$23</definedName>
    <definedName name="OSRRefH22_0x_0" localSheetId="68">'322'!$H$21:$H$25</definedName>
    <definedName name="OSRRefH22_0x_0" localSheetId="69">'325'!$H$21:$H$25</definedName>
    <definedName name="OSRRefH22_0x_0" localSheetId="59">'326'!$H$39:$H$46</definedName>
    <definedName name="OSRRefH22_0x_0" localSheetId="52">'330'!$H$31</definedName>
    <definedName name="OSRRefH22_0x_0" localSheetId="57">'331'!$H$72:$H$79</definedName>
    <definedName name="OSRRefH22_0x_0" localSheetId="60">'332'!$H$29:$H$36</definedName>
    <definedName name="OSRRefH22_0x_0" localSheetId="73">'405'!$H$20:$H$27</definedName>
    <definedName name="OSRRefH22_0x_0" localSheetId="74">'406'!$H$20</definedName>
    <definedName name="OSRRefH22_0x_0" localSheetId="75">'411'!$H$20:$H$27</definedName>
    <definedName name="OSRRefH22_0x_0" localSheetId="76">'412'!$H$20</definedName>
    <definedName name="OSRRefH22_0x_0" localSheetId="77">'413'!$H$20:$H$24</definedName>
    <definedName name="OSRRefH22_0x_0" localSheetId="78">'414'!$H$21</definedName>
    <definedName name="OSRRefH22_0x_0" localSheetId="79">'415'!$H$24:$H$31</definedName>
    <definedName name="OSRRefH22_0x_0" localSheetId="80">'418'!$H$20:$H$27</definedName>
    <definedName name="OSRRefH22_0x_0" localSheetId="81">'423'!$H$20:$H$21</definedName>
    <definedName name="OSRRefH22_0x_0" localSheetId="82">'424'!$H$20</definedName>
    <definedName name="OSRRefH22_0x_0" localSheetId="83">'425'!$H$21:$H$25</definedName>
    <definedName name="OSRRefH22_0x_0" localSheetId="86">'430'!$H$20:$H$27</definedName>
    <definedName name="OSRRefH22_0x_0" localSheetId="87">'433'!$H$25:$H$33</definedName>
    <definedName name="OSRRefH22_0x_0" localSheetId="88">'435'!$H$20</definedName>
    <definedName name="OSRRefH22_0x_0" localSheetId="89">'444'!$H$25:$H$33</definedName>
    <definedName name="OSRRefH22_0x_0" localSheetId="90">'450'!$H$20:$H$28</definedName>
    <definedName name="OSRRefH22_0x_0" localSheetId="72">'491'!$H$25:$H$32</definedName>
    <definedName name="OSRRefH22_0x_0" localSheetId="85">'492'!$H$25:$H$33</definedName>
    <definedName name="OSRRefH22_0x_0" localSheetId="92">'501'!$H$21:$H$28</definedName>
    <definedName name="OSRRefH22_0x_0" localSheetId="39">'Div 2'!$H$20:$H$29</definedName>
    <definedName name="OSRRefH22_0x_0" localSheetId="47">'Div 3'!$H$99:$H$108</definedName>
    <definedName name="OSRRefH22_0x_0" localSheetId="70">'Div 4'!$H$27:$H$35</definedName>
    <definedName name="OSRRefH22_0x_0" localSheetId="91">'Div 5'!$H$21:$H$28</definedName>
    <definedName name="OSRRefH22_0x_0" localSheetId="62">'Div 6'!$H$48:$H$56</definedName>
    <definedName name="OSRRefH22_0x_0" localSheetId="2">Summary!$H$125:$H$134</definedName>
    <definedName name="OSRRefH22_10x_0" localSheetId="41">'201'!$H$49</definedName>
    <definedName name="OSRRefH22_10x_0" localSheetId="42">'202'!$H$49</definedName>
    <definedName name="OSRRefH22_10x_0" localSheetId="48">'300'!$H$136</definedName>
    <definedName name="OSRRefH22_10x_0" localSheetId="49">'300 &amp; 317'!$H$156</definedName>
    <definedName name="OSRRefH22_10x_0" localSheetId="50">'301'!$H$56</definedName>
    <definedName name="OSRRefH22_10x_0" localSheetId="54">'308'!$H$83</definedName>
    <definedName name="OSRRefH22_10x_0" localSheetId="64">'310'!$H$55</definedName>
    <definedName name="OSRRefH22_10x_0" localSheetId="71">'310 &amp; 491'!$H$61</definedName>
    <definedName name="OSRRefH22_10x_0" localSheetId="55">'311'!$H$83</definedName>
    <definedName name="OSRRefH22_10x_0" localSheetId="58">'315'!$H$108</definedName>
    <definedName name="OSRRefH22_10x_0" localSheetId="59">'326'!$H$71</definedName>
    <definedName name="OSRRefH22_10x_0" localSheetId="57">'331'!$H$105</definedName>
    <definedName name="OSRRefH22_10x_0" localSheetId="75">'411'!$H$50</definedName>
    <definedName name="OSRRefH22_10x_0" localSheetId="79">'415'!$H$55:$H$56</definedName>
    <definedName name="OSRRefH22_10x_0" localSheetId="87">'433'!$H$61</definedName>
    <definedName name="OSRRefH22_10x_0" localSheetId="89">'444'!$H$59:$H$61</definedName>
    <definedName name="OSRRefH22_10x_0" localSheetId="72">'491'!$H$57</definedName>
    <definedName name="OSRRefH22_10x_0" localSheetId="85">'492'!$H$57:$H$59</definedName>
    <definedName name="OSRRefH22_10x_0" localSheetId="39">'Div 2'!$H$54:$H$55</definedName>
    <definedName name="OSRRefH22_10x_0" localSheetId="47">'Div 3'!$H$137</definedName>
    <definedName name="OSRRefH22_10x_0" localSheetId="70">'Div 4'!$H$60</definedName>
    <definedName name="OSRRefH22_10x_0" localSheetId="2">Summary!$H$163</definedName>
    <definedName name="OSRRefH22_11x_0" localSheetId="48">'300'!$H$138</definedName>
    <definedName name="OSRRefH22_11x_0" localSheetId="49">'300 &amp; 317'!$H$158</definedName>
    <definedName name="OSRRefH22_11x_0" localSheetId="50">'301'!$H$58</definedName>
    <definedName name="OSRRefH22_11x_0" localSheetId="54">'308'!$H$85:$H$86</definedName>
    <definedName name="OSRRefH22_11x_0" localSheetId="64">'310'!$H$57</definedName>
    <definedName name="OSRRefH22_11x_0" localSheetId="71">'310 &amp; 491'!$H$63:$H$64</definedName>
    <definedName name="OSRRefH22_11x_0" localSheetId="55">'311'!$H$85:$H$86</definedName>
    <definedName name="OSRRefH22_11x_0" localSheetId="59">'326'!$H$73:$H$75</definedName>
    <definedName name="OSRRefH22_11x_0" localSheetId="57">'331'!$H$107:$H$108</definedName>
    <definedName name="OSRRefH22_11x_0" localSheetId="75">'411'!$H$52</definedName>
    <definedName name="OSRRefH22_11x_0" localSheetId="79">'415'!$H$58:$H$60</definedName>
    <definedName name="OSRRefH22_11x_0" localSheetId="89">'444'!$H$63</definedName>
    <definedName name="OSRRefH22_11x_0" localSheetId="72">'491'!$H$59:$H$60</definedName>
    <definedName name="OSRRefH22_11x_0" localSheetId="85">'492'!$H$61:$H$63</definedName>
    <definedName name="OSRRefH22_11x_0" localSheetId="39">'Div 2'!$H$57:$H$59</definedName>
    <definedName name="OSRRefH22_11x_0" localSheetId="47">'Div 3'!$H$139</definedName>
    <definedName name="OSRRefH22_11x_0" localSheetId="70">'Div 4'!$H$62</definedName>
    <definedName name="OSRRefH22_11x_0" localSheetId="2">Summary!$H$165</definedName>
    <definedName name="OSRRefH22_12x_0" localSheetId="48">'300'!$H$140:$H$141</definedName>
    <definedName name="OSRRefH22_12x_0" localSheetId="49">'300 &amp; 317'!$H$160:$H$161</definedName>
    <definedName name="OSRRefH22_12x_0" localSheetId="50">'301'!$H$60:$H$62</definedName>
    <definedName name="OSRRefH22_12x_0" localSheetId="54">'308'!$H$88:$H$89</definedName>
    <definedName name="OSRRefH22_12x_0" localSheetId="71">'310 &amp; 491'!$H$66:$H$69</definedName>
    <definedName name="OSRRefH22_12x_0" localSheetId="55">'311'!$H$88:$H$89</definedName>
    <definedName name="OSRRefH22_12x_0" localSheetId="59">'326'!$H$77</definedName>
    <definedName name="OSRRefH22_12x_0" localSheetId="57">'331'!$H$110:$H$111</definedName>
    <definedName name="OSRRefH22_12x_0" localSheetId="75">'411'!$H$54</definedName>
    <definedName name="OSRRefH22_12x_0" localSheetId="79">'415'!$H$62</definedName>
    <definedName name="OSRRefH22_12x_0" localSheetId="72">'491'!$H$62:$H$65</definedName>
    <definedName name="OSRRefH22_12x_0" localSheetId="85">'492'!$H$65:$H$69</definedName>
    <definedName name="OSRRefH22_12x_0" localSheetId="39">'Div 2'!$H$61</definedName>
    <definedName name="OSRRefH22_12x_0" localSheetId="47">'Div 3'!$H$141</definedName>
    <definedName name="OSRRefH22_12x_0" localSheetId="70">'Div 4'!$H$64:$H$66</definedName>
    <definedName name="OSRRefH22_12x_0" localSheetId="2">Summary!$H$167</definedName>
    <definedName name="OSRRefH22_13x_0" localSheetId="48">'300'!$H$143</definedName>
    <definedName name="OSRRefH22_13x_0" localSheetId="49">'300 &amp; 317'!$H$163</definedName>
    <definedName name="OSRRefH22_13x_0" localSheetId="50">'301'!$H$64:$H$66</definedName>
    <definedName name="OSRRefH22_13x_0" localSheetId="54">'308'!$H$91</definedName>
    <definedName name="OSRRefH22_13x_0" localSheetId="71">'310 &amp; 491'!$H$71</definedName>
    <definedName name="OSRRefH22_13x_0" localSheetId="55">'311'!$H$91</definedName>
    <definedName name="OSRRefH22_13x_0" localSheetId="59">'326'!$H$79</definedName>
    <definedName name="OSRRefH22_13x_0" localSheetId="57">'331'!$H$113</definedName>
    <definedName name="OSRRefH22_13x_0" localSheetId="79">'415'!$H$64:$H$68</definedName>
    <definedName name="OSRRefH22_13x_0" localSheetId="72">'491'!$H$67</definedName>
    <definedName name="OSRRefH22_13x_0" localSheetId="85">'492'!$H$71</definedName>
    <definedName name="OSRRefH22_13x_0" localSheetId="39">'Div 2'!$H$63</definedName>
    <definedName name="OSRRefH22_13x_0" localSheetId="47">'Div 3'!$H$143:$H$144</definedName>
    <definedName name="OSRRefH22_13x_0" localSheetId="70">'Div 4'!$H$68:$H$71</definedName>
    <definedName name="OSRRefH22_13x_0" localSheetId="2">Summary!$H$169:$H$170</definedName>
    <definedName name="OSRRefH22_14x_0" localSheetId="48">'300'!$H$145:$H$147</definedName>
    <definedName name="OSRRefH22_14x_0" localSheetId="49">'300 &amp; 317'!$H$165:$H$167</definedName>
    <definedName name="OSRRefH22_14x_0" localSheetId="50">'301'!$H$68:$H$71</definedName>
    <definedName name="OSRRefH22_14x_0" localSheetId="71">'310 &amp; 491'!$H$73:$H$77</definedName>
    <definedName name="OSRRefH22_14x_0" localSheetId="59">'326'!$H$81</definedName>
    <definedName name="OSRRefH22_14x_0" localSheetId="57">'331'!$H$115:$H$118</definedName>
    <definedName name="OSRRefH22_14x_0" localSheetId="79">'415'!$H$70</definedName>
    <definedName name="OSRRefH22_14x_0" localSheetId="72">'491'!$H$69:$H$73</definedName>
    <definedName name="OSRRefH22_14x_0" localSheetId="39">'Div 2'!$H$65:$H$68</definedName>
    <definedName name="OSRRefH22_14x_0" localSheetId="47">'Div 3'!$H$146</definedName>
    <definedName name="OSRRefH22_14x_0" localSheetId="70">'Div 4'!$H$73</definedName>
    <definedName name="OSRRefH22_14x_0" localSheetId="2">Summary!$H$172</definedName>
    <definedName name="OSRRefH22_15x_0" localSheetId="48">'300'!$H$149:$H$151</definedName>
    <definedName name="OSRRefH22_15x_0" localSheetId="49">'300 &amp; 317'!$H$169:$H$171</definedName>
    <definedName name="OSRRefH22_15x_0" localSheetId="50">'301'!$H$73</definedName>
    <definedName name="OSRRefH22_15x_0" localSheetId="71">'310 &amp; 491'!$H$79</definedName>
    <definedName name="OSRRefH22_15x_0" localSheetId="57">'331'!$H$120</definedName>
    <definedName name="OSRRefH22_15x_0" localSheetId="79">'415'!$H$72</definedName>
    <definedName name="OSRRefH22_15x_0" localSheetId="72">'491'!$H$75</definedName>
    <definedName name="OSRRefH22_15x_0" localSheetId="39">'Div 2'!$H$70:$H$71</definedName>
    <definedName name="OSRRefH22_15x_0" localSheetId="47">'Div 3'!$H$148:$H$150</definedName>
    <definedName name="OSRRefH22_15x_0" localSheetId="70">'Div 4'!$H$75:$H$79</definedName>
    <definedName name="OSRRefH22_15x_0" localSheetId="2">Summary!$H$174</definedName>
    <definedName name="OSRRefH22_16x_0" localSheetId="48">'300'!$H$153:$H$156</definedName>
    <definedName name="OSRRefH22_16x_0" localSheetId="49">'300 &amp; 317'!$H$173:$H$176</definedName>
    <definedName name="OSRRefH22_16x_0" localSheetId="50">'301'!$H$75</definedName>
    <definedName name="OSRRefH22_16x_0" localSheetId="71">'310 &amp; 491'!$H$81</definedName>
    <definedName name="OSRRefH22_16x_0" localSheetId="57">'331'!$H$122</definedName>
    <definedName name="OSRRefH22_16x_0" localSheetId="72">'491'!$H$77</definedName>
    <definedName name="OSRRefH22_16x_0" localSheetId="39">'Div 2'!$H$73</definedName>
    <definedName name="OSRRefH22_16x_0" localSheetId="47">'Div 3'!$H$152:$H$154</definedName>
    <definedName name="OSRRefH22_16x_0" localSheetId="70">'Div 4'!$H$81</definedName>
    <definedName name="OSRRefH22_16x_0" localSheetId="2">Summary!$H$176:$H$178</definedName>
    <definedName name="OSRRefH22_17x_0" localSheetId="48">'300'!$H$158:$H$159</definedName>
    <definedName name="OSRRefH22_17x_0" localSheetId="49">'300 &amp; 317'!$H$178:$H$179</definedName>
    <definedName name="OSRRefH22_17x_0" localSheetId="50">'301'!$H$77:$H$78</definedName>
    <definedName name="OSRRefH22_17x_0" localSheetId="71">'310 &amp; 491'!$H$83</definedName>
    <definedName name="OSRRefH22_17x_0" localSheetId="57">'331'!$H$124</definedName>
    <definedName name="OSRRefH22_17x_0" localSheetId="72">'491'!$H$79</definedName>
    <definedName name="OSRRefH22_17x_0" localSheetId="47">'Div 3'!$H$156:$H$159</definedName>
    <definedName name="OSRRefH22_17x_0" localSheetId="70">'Div 4'!$H$83</definedName>
    <definedName name="OSRRefH22_17x_0" localSheetId="2">Summary!$H$180:$H$182</definedName>
    <definedName name="OSRRefH22_18x_0" localSheetId="48">'300'!$H$161:$H$166</definedName>
    <definedName name="OSRRefH22_18x_0" localSheetId="49">'300 &amp; 317'!$H$181:$H$186</definedName>
    <definedName name="OSRRefH22_18x_0" localSheetId="50">'301'!$H$80</definedName>
    <definedName name="OSRRefH22_18x_0" localSheetId="47">'Div 3'!$H$161:$H$162</definedName>
    <definedName name="OSRRefH22_18x_0" localSheetId="70">'Div 4'!$H$85</definedName>
    <definedName name="OSRRefH22_18x_0" localSheetId="2">Summary!$H$184:$H$188</definedName>
    <definedName name="OSRRefH22_19x_0" localSheetId="48">'300'!$H$168:$H$169</definedName>
    <definedName name="OSRRefH22_19x_0" localSheetId="49">'300 &amp; 317'!$H$188:$H$189</definedName>
    <definedName name="OSRRefH22_19x_0" localSheetId="47">'Div 3'!$H$164:$H$169</definedName>
    <definedName name="OSRRefH22_19x_0" localSheetId="2">Summary!$H$190:$H$191</definedName>
    <definedName name="OSRRefH22_1x_0" localSheetId="40">'200'!$H$22</definedName>
    <definedName name="OSRRefH22_1x_0" localSheetId="41">'201'!$H$29:$H$30</definedName>
    <definedName name="OSRRefH22_1x_0" localSheetId="42">'202'!$H$29</definedName>
    <definedName name="OSRRefH22_1x_0" localSheetId="43">'203'!$H$30:$H$33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'300'!$H$109:$H$115</definedName>
    <definedName name="OSRRefH22_1x_0" localSheetId="49">'300 &amp; 317'!$H$129:$H$135</definedName>
    <definedName name="OSRRefH22_1x_0" localSheetId="50">'301'!$H$31:$H$37</definedName>
    <definedName name="OSRRefH22_1x_0" localSheetId="51">'306'!$H$25:$H$26</definedName>
    <definedName name="OSRRefH22_1x_0" localSheetId="53">'307'!$H$23</definedName>
    <definedName name="OSRRefH22_1x_0" localSheetId="54">'308'!$H$59:$H$64</definedName>
    <definedName name="OSRRefH22_1x_0" localSheetId="65">'309'!$H$22</definedName>
    <definedName name="OSRRefH22_1x_0" localSheetId="64">'310'!$H$34</definedName>
    <definedName name="OSRRefH22_1x_0" localSheetId="71">'310 &amp; 491'!$H$38:$H$42</definedName>
    <definedName name="OSRRefH22_1x_0" localSheetId="55">'311'!$H$59:$H$64</definedName>
    <definedName name="OSRRefH22_1x_0" localSheetId="66">'313'!$H$33</definedName>
    <definedName name="OSRRefH22_1x_0" localSheetId="58">'315'!$H$81:$H$85</definedName>
    <definedName name="OSRRefH22_1x_0" localSheetId="61">'316'!$H$36:$H$37</definedName>
    <definedName name="OSRRefH22_1x_0" localSheetId="63">'317'!$H$58:$H$60</definedName>
    <definedName name="OSRRefH22_1x_0" localSheetId="67">'321'!$H$25</definedName>
    <definedName name="OSRRefH22_1x_0" localSheetId="68">'322'!$H$27</definedName>
    <definedName name="OSRRefH22_1x_0" localSheetId="69">'325'!$H$27</definedName>
    <definedName name="OSRRefH22_1x_0" localSheetId="59">'326'!$H$48:$H$52</definedName>
    <definedName name="OSRRefH22_1x_0" localSheetId="52">'330'!$H$33</definedName>
    <definedName name="OSRRefH22_1x_0" localSheetId="57">'331'!$H$81:$H$85</definedName>
    <definedName name="OSRRefH22_1x_0" localSheetId="60">'332'!$H$38:$H$39</definedName>
    <definedName name="OSRRefH22_1x_0" localSheetId="73">'405'!$H$29:$H$30</definedName>
    <definedName name="OSRRefH22_1x_0" localSheetId="74">'406'!$H$22</definedName>
    <definedName name="OSRRefH22_1x_0" localSheetId="75">'411'!$H$29:$H$30</definedName>
    <definedName name="OSRRefH22_1x_0" localSheetId="76">'412'!$H$22</definedName>
    <definedName name="OSRRefH22_1x_0" localSheetId="77">'413'!$H$26</definedName>
    <definedName name="OSRRefH22_1x_0" localSheetId="78">'414'!$H$23</definedName>
    <definedName name="OSRRefH22_1x_0" localSheetId="79">'415'!$H$33:$H$36</definedName>
    <definedName name="OSRRefH22_1x_0" localSheetId="80">'418'!$H$29:$H$32</definedName>
    <definedName name="OSRRefH22_1x_0" localSheetId="81">'423'!$H$23</definedName>
    <definedName name="OSRRefH22_1x_0" localSheetId="82">'424'!$H$22</definedName>
    <definedName name="OSRRefH22_1x_0" localSheetId="83">'425'!$H$27</definedName>
    <definedName name="OSRRefH22_1x_0" localSheetId="86">'430'!$H$29</definedName>
    <definedName name="OSRRefH22_1x_0" localSheetId="87">'433'!$H$35:$H$37</definedName>
    <definedName name="OSRRefH22_1x_0" localSheetId="89">'444'!$H$35:$H$38</definedName>
    <definedName name="OSRRefH22_1x_0" localSheetId="90">'450'!$H$30:$H$32</definedName>
    <definedName name="OSRRefH22_1x_0" localSheetId="72">'491'!$H$34:$H$38</definedName>
    <definedName name="OSRRefH22_1x_0" localSheetId="85">'492'!$H$35:$H$39</definedName>
    <definedName name="OSRRefH22_1x_0" localSheetId="92">'501'!$H$30:$H$33</definedName>
    <definedName name="OSRRefH22_1x_0" localSheetId="39">'Div 2'!$H$31:$H$36</definedName>
    <definedName name="OSRRefH22_1x_0" localSheetId="47">'Div 3'!$H$110:$H$116</definedName>
    <definedName name="OSRRefH22_1x_0" localSheetId="70">'Div 4'!$H$37:$H$41</definedName>
    <definedName name="OSRRefH22_1x_0" localSheetId="91">'Div 5'!$H$30:$H$33</definedName>
    <definedName name="OSRRefH22_1x_0" localSheetId="62">'Div 6'!$H$58:$H$60</definedName>
    <definedName name="OSRRefH22_1x_0" localSheetId="2">Summary!$H$136:$H$142</definedName>
    <definedName name="OSRRefH22_20x_0" localSheetId="48">'300'!$H$171</definedName>
    <definedName name="OSRRefH22_20x_0" localSheetId="49">'300 &amp; 317'!$H$191</definedName>
    <definedName name="OSRRefH22_20x_0" localSheetId="47">'Div 3'!$H$171:$H$172</definedName>
    <definedName name="OSRRefH22_20x_0" localSheetId="2">Summary!$H$193:$H$199</definedName>
    <definedName name="OSRRefH22_21x_0" localSheetId="48">'300'!$H$173:$H$175</definedName>
    <definedName name="OSRRefH22_21x_0" localSheetId="49">'300 &amp; 317'!$H$193:$H$195</definedName>
    <definedName name="OSRRefH22_21x_0" localSheetId="47">'Div 3'!$H$174</definedName>
    <definedName name="OSRRefH22_21x_0" localSheetId="2">Summary!$H$201:$H$202</definedName>
    <definedName name="OSRRefH22_22x_0" localSheetId="48">'300'!$H$177</definedName>
    <definedName name="OSRRefH22_22x_0" localSheetId="49">'300 &amp; 317'!$H$197</definedName>
    <definedName name="OSRRefH22_22x_0" localSheetId="47">'Div 3'!$H$176:$H$178</definedName>
    <definedName name="OSRRefH22_22x_0" localSheetId="2">Summary!$H$204</definedName>
    <definedName name="OSRRefH22_23x_0" localSheetId="47">'Div 3'!$H$180</definedName>
    <definedName name="OSRRefH22_23x_0" localSheetId="2">Summary!$H$206:$H$208</definedName>
    <definedName name="OSRRefH22_24x_0" localSheetId="2">Summary!$H$210</definedName>
    <definedName name="OSRRefH22_2x_0" localSheetId="40">'200'!$H$24</definedName>
    <definedName name="OSRRefH22_2x_0" localSheetId="41">'201'!$H$32</definedName>
    <definedName name="OSRRefH22_2x_0" localSheetId="42">'202'!$H$31</definedName>
    <definedName name="OSRRefH22_2x_0" localSheetId="43">'203'!$H$35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'300'!$H$117</definedName>
    <definedName name="OSRRefH22_2x_0" localSheetId="49">'300 &amp; 317'!$H$137</definedName>
    <definedName name="OSRRefH22_2x_0" localSheetId="50">'301'!$H$39</definedName>
    <definedName name="OSRRefH22_2x_0" localSheetId="51">'306'!$H$28</definedName>
    <definedName name="OSRRefH22_2x_0" localSheetId="53">'307'!$H$25</definedName>
    <definedName name="OSRRefH22_2x_0" localSheetId="54">'308'!$H$66</definedName>
    <definedName name="OSRRefH22_2x_0" localSheetId="65">'309'!$H$24:$H$25</definedName>
    <definedName name="OSRRefH22_2x_0" localSheetId="64">'310'!$H$36</definedName>
    <definedName name="OSRRefH22_2x_0" localSheetId="71">'310 &amp; 491'!$H$44</definedName>
    <definedName name="OSRRefH22_2x_0" localSheetId="55">'311'!$H$66</definedName>
    <definedName name="OSRRefH22_2x_0" localSheetId="66">'313'!$H$35</definedName>
    <definedName name="OSRRefH22_2x_0" localSheetId="58">'315'!$H$87</definedName>
    <definedName name="OSRRefH22_2x_0" localSheetId="61">'316'!$H$39</definedName>
    <definedName name="OSRRefH22_2x_0" localSheetId="63">'317'!$H$62</definedName>
    <definedName name="OSRRefH22_2x_0" localSheetId="67">'321'!$H$27</definedName>
    <definedName name="OSRRefH22_2x_0" localSheetId="68">'322'!$H$29</definedName>
    <definedName name="OSRRefH22_2x_0" localSheetId="69">'325'!$H$29</definedName>
    <definedName name="OSRRefH22_2x_0" localSheetId="59">'326'!$H$54</definedName>
    <definedName name="OSRRefH22_2x_0" localSheetId="52">'330'!$H$35</definedName>
    <definedName name="OSRRefH22_2x_0" localSheetId="57">'331'!$H$87</definedName>
    <definedName name="OSRRefH22_2x_0" localSheetId="60">'332'!$H$41</definedName>
    <definedName name="OSRRefH22_2x_0" localSheetId="73">'405'!$H$32</definedName>
    <definedName name="OSRRefH22_2x_0" localSheetId="74">'406'!$H$24</definedName>
    <definedName name="OSRRefH22_2x_0" localSheetId="75">'411'!$H$32</definedName>
    <definedName name="OSRRefH22_2x_0" localSheetId="76">'412'!$H$24</definedName>
    <definedName name="OSRRefH22_2x_0" localSheetId="77">'413'!$H$28</definedName>
    <definedName name="OSRRefH22_2x_0" localSheetId="79">'415'!$H$38</definedName>
    <definedName name="OSRRefH22_2x_0" localSheetId="80">'418'!$H$34</definedName>
    <definedName name="OSRRefH22_2x_0" localSheetId="81">'423'!$H$25</definedName>
    <definedName name="OSRRefH22_2x_0" localSheetId="82">'424'!$H$24</definedName>
    <definedName name="OSRRefH22_2x_0" localSheetId="83">'425'!$H$29</definedName>
    <definedName name="OSRRefH22_2x_0" localSheetId="86">'430'!$H$31</definedName>
    <definedName name="OSRRefH22_2x_0" localSheetId="87">'433'!$H$39</definedName>
    <definedName name="OSRRefH22_2x_0" localSheetId="89">'444'!$H$40</definedName>
    <definedName name="OSRRefH22_2x_0" localSheetId="90">'450'!$H$34</definedName>
    <definedName name="OSRRefH22_2x_0" localSheetId="72">'491'!$H$40</definedName>
    <definedName name="OSRRefH22_2x_0" localSheetId="85">'492'!$H$41</definedName>
    <definedName name="OSRRefH22_2x_0" localSheetId="92">'501'!$H$35</definedName>
    <definedName name="OSRRefH22_2x_0" localSheetId="39">'Div 2'!$H$38</definedName>
    <definedName name="OSRRefH22_2x_0" localSheetId="47">'Div 3'!$H$118</definedName>
    <definedName name="OSRRefH22_2x_0" localSheetId="70">'Div 4'!$H$43</definedName>
    <definedName name="OSRRefH22_2x_0" localSheetId="91">'Div 5'!$H$35</definedName>
    <definedName name="OSRRefH22_2x_0" localSheetId="62">'Div 6'!$H$62</definedName>
    <definedName name="OSRRefH22_2x_0" localSheetId="2">Summary!$H$144</definedName>
    <definedName name="OSRRefH22_3x_0" localSheetId="41">'201'!$H$34</definedName>
    <definedName name="OSRRefH22_3x_0" localSheetId="42">'202'!$H$33</definedName>
    <definedName name="OSRRefH22_3x_0" localSheetId="43">'203'!$H$37</definedName>
    <definedName name="OSRRefH22_3x_0" localSheetId="44">'204'!$H$36</definedName>
    <definedName name="OSRRefH22_3x_0" localSheetId="45">'205'!$H$33:$H$34</definedName>
    <definedName name="OSRRefH22_3x_0" localSheetId="46">'206'!$H$34</definedName>
    <definedName name="OSRRefH22_3x_0" localSheetId="48">'300'!$H$119</definedName>
    <definedName name="OSRRefH22_3x_0" localSheetId="49">'300 &amp; 317'!$H$139</definedName>
    <definedName name="OSRRefH22_3x_0" localSheetId="50">'301'!$H$41</definedName>
    <definedName name="OSRRefH22_3x_0" localSheetId="51">'306'!$H$30</definedName>
    <definedName name="OSRRefH22_3x_0" localSheetId="53">'307'!$H$27:$H$28</definedName>
    <definedName name="OSRRefH22_3x_0" localSheetId="54">'308'!$H$68</definedName>
    <definedName name="OSRRefH22_3x_0" localSheetId="65">'309'!$H$27</definedName>
    <definedName name="OSRRefH22_3x_0" localSheetId="64">'310'!$H$38:$H$39</definedName>
    <definedName name="OSRRefH22_3x_0" localSheetId="71">'310 &amp; 491'!$H$46</definedName>
    <definedName name="OSRRefH22_3x_0" localSheetId="55">'311'!$H$68</definedName>
    <definedName name="OSRRefH22_3x_0" localSheetId="66">'313'!$H$37</definedName>
    <definedName name="OSRRefH22_3x_0" localSheetId="58">'315'!$H$89</definedName>
    <definedName name="OSRRefH22_3x_0" localSheetId="61">'316'!$H$41</definedName>
    <definedName name="OSRRefH22_3x_0" localSheetId="63">'317'!$H$64</definedName>
    <definedName name="OSRRefH22_3x_0" localSheetId="67">'321'!$H$29</definedName>
    <definedName name="OSRRefH22_3x_0" localSheetId="68">'322'!$H$31</definedName>
    <definedName name="OSRRefH22_3x_0" localSheetId="69">'325'!$H$31:$H$32</definedName>
    <definedName name="OSRRefH22_3x_0" localSheetId="59">'326'!$H$56</definedName>
    <definedName name="OSRRefH22_3x_0" localSheetId="52">'330'!$H$37</definedName>
    <definedName name="OSRRefH22_3x_0" localSheetId="57">'331'!$H$89</definedName>
    <definedName name="OSRRefH22_3x_0" localSheetId="60">'332'!$H$43</definedName>
    <definedName name="OSRRefH22_3x_0" localSheetId="73">'405'!$H$34:$H$35</definedName>
    <definedName name="OSRRefH22_3x_0" localSheetId="74">'406'!$H$26</definedName>
    <definedName name="OSRRefH22_3x_0" localSheetId="75">'411'!$H$34:$H$35</definedName>
    <definedName name="OSRRefH22_3x_0" localSheetId="76">'412'!$H$26</definedName>
    <definedName name="OSRRefH22_3x_0" localSheetId="77">'413'!$H$30</definedName>
    <definedName name="OSRRefH22_3x_0" localSheetId="79">'415'!$H$40</definedName>
    <definedName name="OSRRefH22_3x_0" localSheetId="80">'418'!$H$36</definedName>
    <definedName name="OSRRefH22_3x_0" localSheetId="83">'425'!$H$31</definedName>
    <definedName name="OSRRefH22_3x_0" localSheetId="86">'430'!$H$33</definedName>
    <definedName name="OSRRefH22_3x_0" localSheetId="87">'433'!$H$41</definedName>
    <definedName name="OSRRefH22_3x_0" localSheetId="89">'444'!$H$42</definedName>
    <definedName name="OSRRefH22_3x_0" localSheetId="90">'450'!$H$36</definedName>
    <definedName name="OSRRefH22_3x_0" localSheetId="72">'491'!$H$42</definedName>
    <definedName name="OSRRefH22_3x_0" localSheetId="85">'492'!$H$43</definedName>
    <definedName name="OSRRefH22_3x_0" localSheetId="92">'501'!$H$37</definedName>
    <definedName name="OSRRefH22_3x_0" localSheetId="39">'Div 2'!$H$40</definedName>
    <definedName name="OSRRefH22_3x_0" localSheetId="47">'Div 3'!$H$120</definedName>
    <definedName name="OSRRefH22_3x_0" localSheetId="70">'Div 4'!$H$45</definedName>
    <definedName name="OSRRefH22_3x_0" localSheetId="91">'Div 5'!$H$37</definedName>
    <definedName name="OSRRefH22_3x_0" localSheetId="62">'Div 6'!$H$64</definedName>
    <definedName name="OSRRefH22_3x_0" localSheetId="2">Summary!$H$146</definedName>
    <definedName name="OSRRefH22_4x_0" localSheetId="41">'201'!$H$36</definedName>
    <definedName name="OSRRefH22_4x_0" localSheetId="42">'202'!$H$35</definedName>
    <definedName name="OSRRefH22_4x_0" localSheetId="43">'203'!$H$39</definedName>
    <definedName name="OSRRefH22_4x_0" localSheetId="44">'204'!$H$38:$H$39</definedName>
    <definedName name="OSRRefH22_4x_0" localSheetId="45">'205'!$H$36</definedName>
    <definedName name="OSRRefH22_4x_0" localSheetId="46">'206'!$H$36</definedName>
    <definedName name="OSRRefH22_4x_0" localSheetId="48">'300'!$H$121</definedName>
    <definedName name="OSRRefH22_4x_0" localSheetId="49">'300 &amp; 317'!$H$141</definedName>
    <definedName name="OSRRefH22_4x_0" localSheetId="50">'301'!$H$43:$H$44</definedName>
    <definedName name="OSRRefH22_4x_0" localSheetId="53">'307'!$H$30</definedName>
    <definedName name="OSRRefH22_4x_0" localSheetId="54">'308'!$H$70</definedName>
    <definedName name="OSRRefH22_4x_0" localSheetId="64">'310'!$H$41</definedName>
    <definedName name="OSRRefH22_4x_0" localSheetId="71">'310 &amp; 491'!$H$48</definedName>
    <definedName name="OSRRefH22_4x_0" localSheetId="55">'311'!$H$70</definedName>
    <definedName name="OSRRefH22_4x_0" localSheetId="58">'315'!$H$91</definedName>
    <definedName name="OSRRefH22_4x_0" localSheetId="61">'316'!$H$43:$H$44</definedName>
    <definedName name="OSRRefH22_4x_0" localSheetId="63">'317'!$H$66</definedName>
    <definedName name="OSRRefH22_4x_0" localSheetId="67">'321'!$H$31</definedName>
    <definedName name="OSRRefH22_4x_0" localSheetId="68">'322'!$H$33</definedName>
    <definedName name="OSRRefH22_4x_0" localSheetId="69">'325'!$H$34</definedName>
    <definedName name="OSRRefH22_4x_0" localSheetId="59">'326'!$H$58</definedName>
    <definedName name="OSRRefH22_4x_0" localSheetId="52">'330'!$H$39</definedName>
    <definedName name="OSRRefH22_4x_0" localSheetId="57">'331'!$H$91</definedName>
    <definedName name="OSRRefH22_4x_0" localSheetId="60">'332'!$H$45:$H$46</definedName>
    <definedName name="OSRRefH22_4x_0" localSheetId="73">'405'!$H$37</definedName>
    <definedName name="OSRRefH22_4x_0" localSheetId="75">'411'!$H$37</definedName>
    <definedName name="OSRRefH22_4x_0" localSheetId="77">'413'!$H$32</definedName>
    <definedName name="OSRRefH22_4x_0" localSheetId="79">'415'!$H$42</definedName>
    <definedName name="OSRRefH22_4x_0" localSheetId="80">'418'!$H$38:$H$39</definedName>
    <definedName name="OSRRefH22_4x_0" localSheetId="86">'430'!$H$35</definedName>
    <definedName name="OSRRefH22_4x_0" localSheetId="87">'433'!$H$43</definedName>
    <definedName name="OSRRefH22_4x_0" localSheetId="89">'444'!$H$44</definedName>
    <definedName name="OSRRefH22_4x_0" localSheetId="90">'450'!$H$38</definedName>
    <definedName name="OSRRefH22_4x_0" localSheetId="72">'491'!$H$44</definedName>
    <definedName name="OSRRefH22_4x_0" localSheetId="85">'492'!$H$45</definedName>
    <definedName name="OSRRefH22_4x_0" localSheetId="92">'501'!$H$39</definedName>
    <definedName name="OSRRefH22_4x_0" localSheetId="39">'Div 2'!$H$42</definedName>
    <definedName name="OSRRefH22_4x_0" localSheetId="47">'Div 3'!$H$122</definedName>
    <definedName name="OSRRefH22_4x_0" localSheetId="70">'Div 4'!$H$47</definedName>
    <definedName name="OSRRefH22_4x_0" localSheetId="91">'Div 5'!$H$39</definedName>
    <definedName name="OSRRefH22_4x_0" localSheetId="62">'Div 6'!$H$66</definedName>
    <definedName name="OSRRefH22_4x_0" localSheetId="2">Summary!$H$148</definedName>
    <definedName name="OSRRefH22_5x_0" localSheetId="41">'201'!$H$38</definedName>
    <definedName name="OSRRefH22_5x_0" localSheetId="42">'202'!$H$37</definedName>
    <definedName name="OSRRefH22_5x_0" localSheetId="43">'203'!$H$41:$H$42</definedName>
    <definedName name="OSRRefH22_5x_0" localSheetId="44">'204'!$H$41</definedName>
    <definedName name="OSRRefH22_5x_0" localSheetId="48">'300'!$H$123:$H$124</definedName>
    <definedName name="OSRRefH22_5x_0" localSheetId="49">'300 &amp; 317'!$H$143:$H$144</definedName>
    <definedName name="OSRRefH22_5x_0" localSheetId="50">'301'!$H$46</definedName>
    <definedName name="OSRRefH22_5x_0" localSheetId="53">'307'!$H$32</definedName>
    <definedName name="OSRRefH22_5x_0" localSheetId="54">'308'!$H$72</definedName>
    <definedName name="OSRRefH22_5x_0" localSheetId="64">'310'!$H$43</definedName>
    <definedName name="OSRRefH22_5x_0" localSheetId="71">'310 &amp; 491'!$H$50:$H$51</definedName>
    <definedName name="OSRRefH22_5x_0" localSheetId="55">'311'!$H$72</definedName>
    <definedName name="OSRRefH22_5x_0" localSheetId="58">'315'!$H$93:$H$94</definedName>
    <definedName name="OSRRefH22_5x_0" localSheetId="61">'316'!$H$46:$H$47</definedName>
    <definedName name="OSRRefH22_5x_0" localSheetId="63">'317'!$H$68:$H$69</definedName>
    <definedName name="OSRRefH22_5x_0" localSheetId="67">'321'!$H$33</definedName>
    <definedName name="OSRRefH22_5x_0" localSheetId="69">'325'!$H$36</definedName>
    <definedName name="OSRRefH22_5x_0" localSheetId="59">'326'!$H$60</definedName>
    <definedName name="OSRRefH22_5x_0" localSheetId="52">'330'!$H$41</definedName>
    <definedName name="OSRRefH22_5x_0" localSheetId="57">'331'!$H$93</definedName>
    <definedName name="OSRRefH22_5x_0" localSheetId="60">'332'!$H$48:$H$49</definedName>
    <definedName name="OSRRefH22_5x_0" localSheetId="73">'405'!$H$39</definedName>
    <definedName name="OSRRefH22_5x_0" localSheetId="75">'411'!$H$39</definedName>
    <definedName name="OSRRefH22_5x_0" localSheetId="79">'415'!$H$44:$H$45</definedName>
    <definedName name="OSRRefH22_5x_0" localSheetId="80">'418'!$H$41</definedName>
    <definedName name="OSRRefH22_5x_0" localSheetId="86">'430'!$H$37</definedName>
    <definedName name="OSRRefH22_5x_0" localSheetId="87">'433'!$H$45</definedName>
    <definedName name="OSRRefH22_5x_0" localSheetId="89">'444'!$H$46</definedName>
    <definedName name="OSRRefH22_5x_0" localSheetId="90">'450'!$H$40</definedName>
    <definedName name="OSRRefH22_5x_0" localSheetId="72">'491'!$H$46:$H$47</definedName>
    <definedName name="OSRRefH22_5x_0" localSheetId="85">'492'!$H$47</definedName>
    <definedName name="OSRRefH22_5x_0" localSheetId="92">'501'!$H$41</definedName>
    <definedName name="OSRRefH22_5x_0" localSheetId="39">'Div 2'!$H$44</definedName>
    <definedName name="OSRRefH22_5x_0" localSheetId="47">'Div 3'!$H$124:$H$125</definedName>
    <definedName name="OSRRefH22_5x_0" localSheetId="70">'Div 4'!$H$49:$H$50</definedName>
    <definedName name="OSRRefH22_5x_0" localSheetId="91">'Div 5'!$H$41</definedName>
    <definedName name="OSRRefH22_5x_0" localSheetId="62">'Div 6'!$H$68:$H$69</definedName>
    <definedName name="OSRRefH22_5x_0" localSheetId="2">Summary!$H$150:$H$151</definedName>
    <definedName name="OSRRefH22_6x_0" localSheetId="41">'201'!$H$40</definedName>
    <definedName name="OSRRefH22_6x_0" localSheetId="42">'202'!$H$39:$H$40</definedName>
    <definedName name="OSRRefH22_6x_0" localSheetId="43">'203'!$H$44</definedName>
    <definedName name="OSRRefH22_6x_0" localSheetId="44">'204'!$H$43:$H$44</definedName>
    <definedName name="OSRRefH22_6x_0" localSheetId="48">'300'!$H$126:$H$127</definedName>
    <definedName name="OSRRefH22_6x_0" localSheetId="49">'300 &amp; 317'!$H$146:$H$147</definedName>
    <definedName name="OSRRefH22_6x_0" localSheetId="50">'301'!$H$48</definedName>
    <definedName name="OSRRefH22_6x_0" localSheetId="54">'308'!$H$74</definedName>
    <definedName name="OSRRefH22_6x_0" localSheetId="64">'310'!$H$45</definedName>
    <definedName name="OSRRefH22_6x_0" localSheetId="71">'310 &amp; 491'!$H$53</definedName>
    <definedName name="OSRRefH22_6x_0" localSheetId="55">'311'!$H$74</definedName>
    <definedName name="OSRRefH22_6x_0" localSheetId="58">'315'!$H$96:$H$97</definedName>
    <definedName name="OSRRefH22_6x_0" localSheetId="61">'316'!$H$49</definedName>
    <definedName name="OSRRefH22_6x_0" localSheetId="63">'317'!$H$71</definedName>
    <definedName name="OSRRefH22_6x_0" localSheetId="67">'321'!$H$35:$H$36</definedName>
    <definedName name="OSRRefH22_6x_0" localSheetId="69">'325'!$H$38</definedName>
    <definedName name="OSRRefH22_6x_0" localSheetId="59">'326'!$H$62</definedName>
    <definedName name="OSRRefH22_6x_0" localSheetId="52">'330'!$H$43:$H$44</definedName>
    <definedName name="OSRRefH22_6x_0" localSheetId="57">'331'!$H$95</definedName>
    <definedName name="OSRRefH22_6x_0" localSheetId="60">'332'!$H$51</definedName>
    <definedName name="OSRRefH22_6x_0" localSheetId="73">'405'!$H$41</definedName>
    <definedName name="OSRRefH22_6x_0" localSheetId="75">'411'!$H$41</definedName>
    <definedName name="OSRRefH22_6x_0" localSheetId="79">'415'!$H$47</definedName>
    <definedName name="OSRRefH22_6x_0" localSheetId="80">'418'!$H$43</definedName>
    <definedName name="OSRRefH22_6x_0" localSheetId="87">'433'!$H$47</definedName>
    <definedName name="OSRRefH22_6x_0" localSheetId="89">'444'!$H$48</definedName>
    <definedName name="OSRRefH22_6x_0" localSheetId="90">'450'!$H$42:$H$43</definedName>
    <definedName name="OSRRefH22_6x_0" localSheetId="72">'491'!$H$49</definedName>
    <definedName name="OSRRefH22_6x_0" localSheetId="85">'492'!$H$49</definedName>
    <definedName name="OSRRefH22_6x_0" localSheetId="92">'501'!$H$43</definedName>
    <definedName name="OSRRefH22_6x_0" localSheetId="39">'Div 2'!$H$46</definedName>
    <definedName name="OSRRefH22_6x_0" localSheetId="47">'Div 3'!$H$127:$H$128</definedName>
    <definedName name="OSRRefH22_6x_0" localSheetId="70">'Div 4'!$H$52</definedName>
    <definedName name="OSRRefH22_6x_0" localSheetId="91">'Div 5'!$H$43</definedName>
    <definedName name="OSRRefH22_6x_0" localSheetId="62">'Div 6'!$H$71</definedName>
    <definedName name="OSRRefH22_6x_0" localSheetId="2">Summary!$H$153:$H$154</definedName>
    <definedName name="OSRRefH22_7x_0" localSheetId="41">'201'!$H$42</definedName>
    <definedName name="OSRRefH22_7x_0" localSheetId="42">'202'!$H$42</definedName>
    <definedName name="OSRRefH22_7x_0" localSheetId="43">'203'!$H$46</definedName>
    <definedName name="OSRRefH22_7x_0" localSheetId="48">'300'!$H$129</definedName>
    <definedName name="OSRRefH22_7x_0" localSheetId="49">'300 &amp; 317'!$H$149</definedName>
    <definedName name="OSRRefH22_7x_0" localSheetId="50">'301'!$H$50</definedName>
    <definedName name="OSRRefH22_7x_0" localSheetId="54">'308'!$H$76</definedName>
    <definedName name="OSRRefH22_7x_0" localSheetId="64">'310'!$H$47</definedName>
    <definedName name="OSRRefH22_7x_0" localSheetId="71">'310 &amp; 491'!$H$55</definedName>
    <definedName name="OSRRefH22_7x_0" localSheetId="55">'311'!$H$76</definedName>
    <definedName name="OSRRefH22_7x_0" localSheetId="58">'315'!$H$99:$H$100</definedName>
    <definedName name="OSRRefH22_7x_0" localSheetId="61">'316'!$H$51:$H$55</definedName>
    <definedName name="OSRRefH22_7x_0" localSheetId="63">'317'!$H$73</definedName>
    <definedName name="OSRRefH22_7x_0" localSheetId="67">'321'!$H$38</definedName>
    <definedName name="OSRRefH22_7x_0" localSheetId="69">'325'!$H$40</definedName>
    <definedName name="OSRRefH22_7x_0" localSheetId="59">'326'!$H$64</definedName>
    <definedName name="OSRRefH22_7x_0" localSheetId="52">'330'!$H$46</definedName>
    <definedName name="OSRRefH22_7x_0" localSheetId="57">'331'!$H$97:$H$98</definedName>
    <definedName name="OSRRefH22_7x_0" localSheetId="60">'332'!$H$53:$H$57</definedName>
    <definedName name="OSRRefH22_7x_0" localSheetId="73">'405'!$H$43</definedName>
    <definedName name="OSRRefH22_7x_0" localSheetId="75">'411'!$H$43:$H$44</definedName>
    <definedName name="OSRRefH22_7x_0" localSheetId="79">'415'!$H$49</definedName>
    <definedName name="OSRRefH22_7x_0" localSheetId="80">'418'!$H$45</definedName>
    <definedName name="OSRRefH22_7x_0" localSheetId="87">'433'!$H$49</definedName>
    <definedName name="OSRRefH22_7x_0" localSheetId="89">'444'!$H$50</definedName>
    <definedName name="OSRRefH22_7x_0" localSheetId="90">'450'!$H$45</definedName>
    <definedName name="OSRRefH22_7x_0" localSheetId="72">'491'!$H$51</definedName>
    <definedName name="OSRRefH22_7x_0" localSheetId="85">'492'!$H$51</definedName>
    <definedName name="OSRRefH22_7x_0" localSheetId="92">'501'!$H$45</definedName>
    <definedName name="OSRRefH22_7x_0" localSheetId="39">'Div 2'!$H$48</definedName>
    <definedName name="OSRRefH22_7x_0" localSheetId="47">'Div 3'!$H$130</definedName>
    <definedName name="OSRRefH22_7x_0" localSheetId="70">'Div 4'!$H$54</definedName>
    <definedName name="OSRRefH22_7x_0" localSheetId="91">'Div 5'!$H$45</definedName>
    <definedName name="OSRRefH22_7x_0" localSheetId="62">'Div 6'!$H$73</definedName>
    <definedName name="OSRRefH22_7x_0" localSheetId="2">Summary!$H$156</definedName>
    <definedName name="OSRRefH22_8x_0" localSheetId="41">'201'!$H$44</definedName>
    <definedName name="OSRRefH22_8x_0" localSheetId="42">'202'!$H$44:$H$45</definedName>
    <definedName name="OSRRefH22_8x_0" localSheetId="43">'203'!$H$48:$H$51</definedName>
    <definedName name="OSRRefH22_8x_0" localSheetId="48">'300'!$H$131</definedName>
    <definedName name="OSRRefH22_8x_0" localSheetId="49">'300 &amp; 317'!$H$151</definedName>
    <definedName name="OSRRefH22_8x_0" localSheetId="50">'301'!$H$52</definedName>
    <definedName name="OSRRefH22_8x_0" localSheetId="54">'308'!$H$78</definedName>
    <definedName name="OSRRefH22_8x_0" localSheetId="64">'310'!$H$49:$H$50</definedName>
    <definedName name="OSRRefH22_8x_0" localSheetId="71">'310 &amp; 491'!$H$57</definedName>
    <definedName name="OSRRefH22_8x_0" localSheetId="55">'311'!$H$78</definedName>
    <definedName name="OSRRefH22_8x_0" localSheetId="58">'315'!$H$102:$H$104</definedName>
    <definedName name="OSRRefH22_8x_0" localSheetId="61">'316'!$H$57</definedName>
    <definedName name="OSRRefH22_8x_0" localSheetId="63">'317'!$H$75:$H$77</definedName>
    <definedName name="OSRRefH22_8x_0" localSheetId="67">'321'!$H$40</definedName>
    <definedName name="OSRRefH22_8x_0" localSheetId="69">'325'!$H$42</definedName>
    <definedName name="OSRRefH22_8x_0" localSheetId="59">'326'!$H$66</definedName>
    <definedName name="OSRRefH22_8x_0" localSheetId="52">'330'!$H$48</definedName>
    <definedName name="OSRRefH22_8x_0" localSheetId="57">'331'!$H$100</definedName>
    <definedName name="OSRRefH22_8x_0" localSheetId="60">'332'!$H$59</definedName>
    <definedName name="OSRRefH22_8x_0" localSheetId="73">'405'!$H$45</definedName>
    <definedName name="OSRRefH22_8x_0" localSheetId="75">'411'!$H$46</definedName>
    <definedName name="OSRRefH22_8x_0" localSheetId="79">'415'!$H$51</definedName>
    <definedName name="OSRRefH22_8x_0" localSheetId="80">'418'!$H$47</definedName>
    <definedName name="OSRRefH22_8x_0" localSheetId="87">'433'!$H$51:$H$53</definedName>
    <definedName name="OSRRefH22_8x_0" localSheetId="89">'444'!$H$52:$H$53</definedName>
    <definedName name="OSRRefH22_8x_0" localSheetId="90">'450'!$H$47</definedName>
    <definedName name="OSRRefH22_8x_0" localSheetId="72">'491'!$H$53</definedName>
    <definedName name="OSRRefH22_8x_0" localSheetId="85">'492'!$H$53</definedName>
    <definedName name="OSRRefH22_8x_0" localSheetId="39">'Div 2'!$H$50</definedName>
    <definedName name="OSRRefH22_8x_0" localSheetId="47">'Div 3'!$H$132</definedName>
    <definedName name="OSRRefH22_8x_0" localSheetId="70">'Div 4'!$H$56</definedName>
    <definedName name="OSRRefH22_8x_0" localSheetId="62">'Div 6'!$H$75:$H$77</definedName>
    <definedName name="OSRRefH22_8x_0" localSheetId="2">Summary!$H$158</definedName>
    <definedName name="OSRRefH22_9x_0" localSheetId="41">'201'!$H$46:$H$47</definedName>
    <definedName name="OSRRefH22_9x_0" localSheetId="42">'202'!$H$47</definedName>
    <definedName name="OSRRefH22_9x_0" localSheetId="43">'203'!$H$53</definedName>
    <definedName name="OSRRefH22_9x_0" localSheetId="48">'300'!$H$133:$H$134</definedName>
    <definedName name="OSRRefH22_9x_0" localSheetId="49">'300 &amp; 317'!$H$153:$H$154</definedName>
    <definedName name="OSRRefH22_9x_0" localSheetId="50">'301'!$H$54</definedName>
    <definedName name="OSRRefH22_9x_0" localSheetId="54">'308'!$H$80:$H$81</definedName>
    <definedName name="OSRRefH22_9x_0" localSheetId="64">'310'!$H$52:$H$53</definedName>
    <definedName name="OSRRefH22_9x_0" localSheetId="71">'310 &amp; 491'!$H$59</definedName>
    <definedName name="OSRRefH22_9x_0" localSheetId="55">'311'!$H$80:$H$81</definedName>
    <definedName name="OSRRefH22_9x_0" localSheetId="58">'315'!$H$106</definedName>
    <definedName name="OSRRefH22_9x_0" localSheetId="63">'317'!$H$79</definedName>
    <definedName name="OSRRefH22_9x_0" localSheetId="69">'325'!$H$44</definedName>
    <definedName name="OSRRefH22_9x_0" localSheetId="59">'326'!$H$68:$H$69</definedName>
    <definedName name="OSRRefH22_9x_0" localSheetId="57">'331'!$H$102:$H$103</definedName>
    <definedName name="OSRRefH22_9x_0" localSheetId="73">'405'!$H$47</definedName>
    <definedName name="OSRRefH22_9x_0" localSheetId="75">'411'!$H$48</definedName>
    <definedName name="OSRRefH22_9x_0" localSheetId="79">'415'!$H$53</definedName>
    <definedName name="OSRRefH22_9x_0" localSheetId="80">'418'!$H$49</definedName>
    <definedName name="OSRRefH22_9x_0" localSheetId="87">'433'!$H$55:$H$59</definedName>
    <definedName name="OSRRefH22_9x_0" localSheetId="89">'444'!$H$55:$H$57</definedName>
    <definedName name="OSRRefH22_9x_0" localSheetId="72">'491'!$H$55</definedName>
    <definedName name="OSRRefH22_9x_0" localSheetId="85">'492'!$H$55</definedName>
    <definedName name="OSRRefH22_9x_0" localSheetId="39">'Div 2'!$H$52</definedName>
    <definedName name="OSRRefH22_9x_0" localSheetId="47">'Div 3'!$H$134:$H$135</definedName>
    <definedName name="OSRRefH22_9x_0" localSheetId="70">'Div 4'!$H$58</definedName>
    <definedName name="OSRRefH22_9x_0" localSheetId="62">'Div 6'!$H$79</definedName>
    <definedName name="OSRRefH22_9x_0" localSheetId="2">Summary!$H$160:$H$161</definedName>
    <definedName name="OSRRefH22x_0" localSheetId="40">'200'!$H$20,'200'!$H$22,'200'!$H$24</definedName>
    <definedName name="OSRRefH22x_0" localSheetId="41">'201'!$H$20:$H$27,'201'!$H$29:$H$30,'201'!$H$32,'201'!$H$34,'201'!$H$36,'201'!$H$38,'201'!$H$40,'201'!$H$42,'201'!$H$44,'201'!$H$46:$H$47,'201'!$H$49</definedName>
    <definedName name="OSRRefH22x_0" localSheetId="42">'202'!$H$20:$H$27,'202'!$H$29,'202'!$H$31,'202'!$H$33,'202'!$H$35,'202'!$H$37,'202'!$H$39:$H$40,'202'!$H$42,'202'!$H$44:$H$45,'202'!$H$47,'202'!$H$49</definedName>
    <definedName name="OSRRefH22x_0" localSheetId="43">'203'!$H$20:$H$28,'203'!$H$30:$H$33,'203'!$H$35,'203'!$H$37,'203'!$H$39,'203'!$H$41:$H$42,'203'!$H$44,'203'!$H$46,'203'!$H$48:$H$51,'203'!$H$53</definedName>
    <definedName name="OSRRefH22x_0" localSheetId="44">'204'!$H$20:$H$28,'204'!$H$30:$H$32,'204'!$H$34,'204'!$H$36,'204'!$H$38:$H$39,'204'!$H$41,'204'!$H$43:$H$44</definedName>
    <definedName name="OSRRefH22x_0" localSheetId="45">'205'!$H$20:$H$27,'205'!$H$29,'205'!$H$31,'205'!$H$33:$H$34,'205'!$H$36</definedName>
    <definedName name="OSRRefH22x_0" localSheetId="46">'206'!$H$20:$H$26,'206'!$H$28:$H$30,'206'!$H$32,'206'!$H$34,'206'!$H$36</definedName>
    <definedName name="OSRRefH22x_0" localSheetId="48">'300'!$H$98:$H$107,'300'!$H$109:$H$115,'300'!$H$117,'300'!$H$119,'300'!$H$121,'300'!$H$123:$H$124,'300'!$H$126:$H$127,'300'!$H$129,'300'!$H$131,'300'!$H$133:$H$134,'300'!$H$136,'300'!$H$138,'300'!$H$140:$H$141,'300'!$H$143,'300'!$H$145:$H$147,'300'!$H$149:$H$151,'300'!$H$153:$H$156,'300'!$H$158:$H$159,'300'!$H$161:$H$166,'300'!$H$168:$H$169,'300'!$H$171,'300'!$H$173:$H$175,'300'!$H$177</definedName>
    <definedName name="OSRRefH22x_0" localSheetId="49">'300 &amp; 317'!$H$118:$H$127,'300 &amp; 317'!$H$129:$H$135,'300 &amp; 317'!$H$137,'300 &amp; 317'!$H$139,'300 &amp; 317'!$H$141,'300 &amp; 317'!$H$143:$H$144,'300 &amp; 317'!$H$146:$H$147,'300 &amp; 317'!$H$149,'300 &amp; 317'!$H$151,'300 &amp; 317'!$H$153:$H$154,'300 &amp; 317'!$H$156,'300 &amp; 317'!$H$158,'300 &amp; 317'!$H$160:$H$161,'300 &amp; 317'!$H$163,'300 &amp; 317'!$H$165:$H$167,'300 &amp; 317'!$H$169:$H$171,'300 &amp; 317'!$H$173:$H$176,'300 &amp; 317'!$H$178:$H$179,'300 &amp; 317'!$H$181:$H$186,'300 &amp; 317'!$H$188:$H$189,'300 &amp; 317'!$H$191,'300 &amp; 317'!$H$193:$H$195,'300 &amp; 317'!$H$197</definedName>
    <definedName name="OSRRefH22x_0" localSheetId="50">'301'!$H$20:$H$29,'301'!$H$31:$H$37,'301'!$H$39,'301'!$H$41,'301'!$H$43:$H$44,'301'!$H$46,'301'!$H$48,'301'!$H$50,'301'!$H$52,'301'!$H$54,'301'!$H$56,'301'!$H$58,'301'!$H$60:$H$62,'301'!$H$64:$H$66,'301'!$H$68:$H$71,'301'!$H$73,'301'!$H$75,'301'!$H$77:$H$78,'301'!$H$80</definedName>
    <definedName name="OSRRefH22x_0" localSheetId="51">'306'!$H$20:$H$23,'306'!$H$25:$H$26,'306'!$H$28,'306'!$H$30</definedName>
    <definedName name="OSRRefH22x_0" localSheetId="53">'307'!$H$21,'307'!$H$23,'307'!$H$25,'307'!$H$27:$H$28,'307'!$H$30,'307'!$H$32</definedName>
    <definedName name="OSRRefH22x_0" localSheetId="54">'308'!$H$49:$H$57,'308'!$H$59:$H$64,'308'!$H$66,'308'!$H$68,'308'!$H$70,'308'!$H$72,'308'!$H$74,'308'!$H$76,'308'!$H$78,'308'!$H$80:$H$81,'308'!$H$83,'308'!$H$85:$H$86,'308'!$H$88:$H$89,'308'!$H$91</definedName>
    <definedName name="OSRRefH22x_0" localSheetId="65">'309'!$H$20,'309'!$H$22,'309'!$H$24:$H$25,'309'!$H$27</definedName>
    <definedName name="OSRRefH22x_0" localSheetId="64">'310'!$H$25:$H$32,'310'!$H$34,'310'!$H$36,'310'!$H$38:$H$39,'310'!$H$41,'310'!$H$43,'310'!$H$45,'310'!$H$47,'310'!$H$49:$H$50,'310'!$H$52:$H$53,'310'!$H$55,'310'!$H$57</definedName>
    <definedName name="OSRRefH22x_0" localSheetId="71">'310 &amp; 491'!$H$29:$H$36,'310 &amp; 491'!$H$38:$H$42,'310 &amp; 491'!$H$44,'310 &amp; 491'!$H$46,'310 &amp; 491'!$H$48,'310 &amp; 491'!$H$50:$H$51,'310 &amp; 491'!$H$53,'310 &amp; 491'!$H$55,'310 &amp; 491'!$H$57,'310 &amp; 491'!$H$59,'310 &amp; 491'!$H$61,'310 &amp; 491'!$H$63:$H$64,'310 &amp; 491'!$H$66:$H$69,'310 &amp; 491'!$H$71,'310 &amp; 491'!$H$73:$H$77,'310 &amp; 491'!$H$79,'310 &amp; 491'!$H$81,'310 &amp; 491'!$H$83</definedName>
    <definedName name="OSRRefH22x_0" localSheetId="55">'311'!$H$49:$H$57,'311'!$H$59:$H$64,'311'!$H$66,'311'!$H$68,'311'!$H$70,'311'!$H$72,'311'!$H$74,'311'!$H$76,'311'!$H$78,'311'!$H$80:$H$81,'311'!$H$83,'311'!$H$85:$H$86,'311'!$H$88:$H$89,'311'!$H$91</definedName>
    <definedName name="OSRRefH22x_0" localSheetId="66">'313'!$H$24:$H$31,'313'!$H$33,'313'!$H$35,'313'!$H$37</definedName>
    <definedName name="OSRRefH22x_0" localSheetId="58">'315'!$H$72:$H$79,'315'!$H$81:$H$85,'315'!$H$87,'315'!$H$89,'315'!$H$91,'315'!$H$93:$H$94,'315'!$H$96:$H$97,'315'!$H$99:$H$100,'315'!$H$102:$H$104,'315'!$H$106,'315'!$H$108</definedName>
    <definedName name="OSRRefH22x_0" localSheetId="61">'316'!$H$27:$H$34,'316'!$H$36:$H$37,'316'!$H$39,'316'!$H$41,'316'!$H$43:$H$44,'316'!$H$46:$H$47,'316'!$H$49,'316'!$H$51:$H$55,'316'!$H$57</definedName>
    <definedName name="OSRRefH22x_0" localSheetId="63">'317'!$H$48:$H$56,'317'!$H$58:$H$60,'317'!$H$62,'317'!$H$64,'317'!$H$66,'317'!$H$68:$H$69,'317'!$H$71,'317'!$H$73,'317'!$H$75:$H$77,'317'!$H$79</definedName>
    <definedName name="OSRRefH22x_0" localSheetId="67">'321'!$H$20:$H$23,'321'!$H$25,'321'!$H$27,'321'!$H$29,'321'!$H$31,'321'!$H$33,'321'!$H$35:$H$36,'321'!$H$38,'321'!$H$40</definedName>
    <definedName name="OSRRefH22x_0" localSheetId="68">'322'!$H$21:$H$25,'322'!$H$27,'322'!$H$29,'322'!$H$31,'322'!$H$33</definedName>
    <definedName name="OSRRefH22x_0" localSheetId="69">'325'!$H$21:$H$25,'325'!$H$27,'325'!$H$29,'325'!$H$31:$H$32,'325'!$H$34,'325'!$H$36,'325'!$H$38,'325'!$H$40,'325'!$H$42,'325'!$H$44</definedName>
    <definedName name="OSRRefH22x_0" localSheetId="59">'326'!$H$39:$H$46,'326'!$H$48:$H$52,'326'!$H$54,'326'!$H$56,'326'!$H$58,'326'!$H$60,'326'!$H$62,'326'!$H$64,'326'!$H$66,'326'!$H$68:$H$69,'326'!$H$71,'326'!$H$73:$H$75,'326'!$H$77,'326'!$H$79,'326'!$H$81</definedName>
    <definedName name="OSRRefH22x_0" localSheetId="52">'330'!$H$31,'330'!$H$33,'330'!$H$35,'330'!$H$37,'330'!$H$39,'330'!$H$41,'330'!$H$43:$H$44,'330'!$H$46,'330'!$H$48</definedName>
    <definedName name="OSRRefH22x_0" localSheetId="57">'331'!$H$72:$H$79,'331'!$H$81:$H$85,'331'!$H$87,'331'!$H$89,'331'!$H$91,'331'!$H$93,'331'!$H$95,'331'!$H$97:$H$98,'331'!$H$100,'331'!$H$102:$H$103,'331'!$H$105,'331'!$H$107:$H$108,'331'!$H$110:$H$111,'331'!$H$113,'331'!$H$115:$H$118,'331'!$H$120,'331'!$H$122,'331'!$H$124</definedName>
    <definedName name="OSRRefH22x_0" localSheetId="60">'332'!$H$29:$H$36,'332'!$H$38:$H$39,'332'!$H$41,'332'!$H$43,'332'!$H$45:$H$46,'332'!$H$48:$H$49,'332'!$H$51,'332'!$H$53:$H$57,'332'!$H$59</definedName>
    <definedName name="OSRRefH22x_0" localSheetId="73">'405'!$H$20:$H$27,'405'!$H$29:$H$30,'405'!$H$32,'405'!$H$34:$H$35,'405'!$H$37,'405'!$H$39,'405'!$H$41,'405'!$H$43,'405'!$H$45,'405'!$H$47</definedName>
    <definedName name="OSRRefH22x_0" localSheetId="74">'406'!$H$20,'406'!$H$22,'406'!$H$24,'406'!$H$26</definedName>
    <definedName name="OSRRefH22x_0" localSheetId="75">'411'!$H$20:$H$27,'411'!$H$29:$H$30,'411'!$H$32,'411'!$H$34:$H$35,'411'!$H$37,'411'!$H$39,'411'!$H$41,'411'!$H$43:$H$44,'411'!$H$46,'411'!$H$48,'411'!$H$50,'411'!$H$52,'411'!$H$54</definedName>
    <definedName name="OSRRefH22x_0" localSheetId="76">'412'!$H$20,'412'!$H$22,'412'!$H$24,'412'!$H$26</definedName>
    <definedName name="OSRRefH22x_0" localSheetId="77">'413'!$H$20:$H$24,'413'!$H$26,'413'!$H$28,'413'!$H$30,'413'!$H$32</definedName>
    <definedName name="OSRRefH22x_0" localSheetId="78">'414'!$H$21,'414'!$H$23</definedName>
    <definedName name="OSRRefH22x_0" localSheetId="79">'415'!$H$24:$H$31,'415'!$H$33:$H$36,'415'!$H$38,'415'!$H$40,'415'!$H$42,'415'!$H$44:$H$45,'415'!$H$47,'415'!$H$49,'415'!$H$51,'415'!$H$53,'415'!$H$55:$H$56,'415'!$H$58:$H$60,'415'!$H$62,'415'!$H$64:$H$68,'415'!$H$70,'415'!$H$72</definedName>
    <definedName name="OSRRefH22x_0" localSheetId="80">'418'!$H$20:$H$27,'418'!$H$29:$H$32,'418'!$H$34,'418'!$H$36,'418'!$H$38:$H$39,'418'!$H$41,'418'!$H$43,'418'!$H$45,'418'!$H$47,'418'!$H$49</definedName>
    <definedName name="OSRRefH22x_0" localSheetId="81">'423'!$H$20:$H$21,'423'!$H$23,'423'!$H$25</definedName>
    <definedName name="OSRRefH22x_0" localSheetId="82">'424'!$H$20,'424'!$H$22,'424'!$H$24</definedName>
    <definedName name="OSRRefH22x_0" localSheetId="83">'425'!$H$21:$H$25,'425'!$H$27,'425'!$H$29,'425'!$H$31</definedName>
    <definedName name="OSRRefH22x_0" localSheetId="86">'430'!$H$20:$H$27,'430'!$H$29,'430'!$H$31,'430'!$H$33,'430'!$H$35,'430'!$H$37</definedName>
    <definedName name="OSRRefH22x_0" localSheetId="87">'433'!$H$25:$H$33,'433'!$H$35:$H$37,'433'!$H$39,'433'!$H$41,'433'!$H$43,'433'!$H$45,'433'!$H$47,'433'!$H$49,'433'!$H$51:$H$53,'433'!$H$55:$H$59,'433'!$H$61</definedName>
    <definedName name="OSRRefH22x_0" localSheetId="88">'435'!$H$20</definedName>
    <definedName name="OSRRefH22x_0" localSheetId="89">'444'!$H$25:$H$33,'444'!$H$35:$H$38,'444'!$H$40,'444'!$H$42,'444'!$H$44,'444'!$H$46,'444'!$H$48,'444'!$H$50,'444'!$H$52:$H$53,'444'!$H$55:$H$57,'444'!$H$59:$H$61,'444'!$H$63</definedName>
    <definedName name="OSRRefH22x_0" localSheetId="90">'450'!$H$20:$H$28,'450'!$H$30:$H$32,'450'!$H$34,'450'!$H$36,'450'!$H$38,'450'!$H$40,'450'!$H$42:$H$43,'450'!$H$45,'450'!$H$47</definedName>
    <definedName name="OSRRefH22x_0" localSheetId="72">'491'!$H$25:$H$32,'491'!$H$34:$H$38,'491'!$H$40,'491'!$H$42,'491'!$H$44,'491'!$H$46:$H$47,'491'!$H$49,'491'!$H$51,'491'!$H$53,'491'!$H$55,'491'!$H$57,'491'!$H$59:$H$60,'491'!$H$62:$H$65,'491'!$H$67,'491'!$H$69:$H$73,'491'!$H$75,'491'!$H$77,'491'!$H$79</definedName>
    <definedName name="OSRRefH22x_0" localSheetId="85">'492'!$H$25:$H$33,'492'!$H$35:$H$39,'492'!$H$41,'492'!$H$43,'492'!$H$45,'492'!$H$47,'492'!$H$49,'492'!$H$51,'492'!$H$53,'492'!$H$55,'492'!$H$57:$H$59,'492'!$H$61:$H$63,'492'!$H$65:$H$69,'492'!$H$71</definedName>
    <definedName name="OSRRefH22x_0" localSheetId="92">'501'!$H$21:$H$28,'501'!$H$30:$H$33,'501'!$H$35,'501'!$H$37,'501'!$H$39,'501'!$H$41,'501'!$H$43,'501'!$H$45</definedName>
    <definedName name="OSRRefH22x_0" localSheetId="39">'Div 2'!$H$20:$H$29,'Div 2'!$H$31:$H$36,'Div 2'!$H$38,'Div 2'!$H$40,'Div 2'!$H$42,'Div 2'!$H$44,'Div 2'!$H$46,'Div 2'!$H$48,'Div 2'!$H$50,'Div 2'!$H$52,'Div 2'!$H$54:$H$55,'Div 2'!$H$57:$H$59,'Div 2'!$H$61,'Div 2'!$H$63,'Div 2'!$H$65:$H$68,'Div 2'!$H$70:$H$71,'Div 2'!$H$73</definedName>
    <definedName name="OSRRefH22x_0" localSheetId="47">'Div 3'!$H$99:$H$108,'Div 3'!$H$110:$H$116,'Div 3'!$H$118,'Div 3'!$H$120,'Div 3'!$H$122,'Div 3'!$H$124:$H$125,'Div 3'!$H$127:$H$128,'Div 3'!$H$130,'Div 3'!$H$132,'Div 3'!$H$134:$H$135,'Div 3'!$H$137,'Div 3'!$H$139,'Div 3'!$H$141,'Div 3'!$H$143:$H$144,'Div 3'!$H$146,'Div 3'!$H$148:$H$150,'Div 3'!$H$152:$H$154,'Div 3'!$H$156:$H$159,'Div 3'!$H$161:$H$162,'Div 3'!$H$164:$H$169,'Div 3'!$H$171:$H$172,'Div 3'!$H$174,'Div 3'!$H$176:$H$178,'Div 3'!$H$180</definedName>
    <definedName name="OSRRefH22x_0" localSheetId="70">'Div 4'!$H$27:$H$35,'Div 4'!$H$37:$H$41,'Div 4'!$H$43,'Div 4'!$H$45,'Div 4'!$H$47,'Div 4'!$H$49:$H$50,'Div 4'!$H$52,'Div 4'!$H$54,'Div 4'!$H$56,'Div 4'!$H$58,'Div 4'!$H$60,'Div 4'!$H$62,'Div 4'!$H$64:$H$66,'Div 4'!$H$68:$H$71,'Div 4'!$H$73,'Div 4'!$H$75:$H$79,'Div 4'!$H$81,'Div 4'!$H$83,'Div 4'!$H$85</definedName>
    <definedName name="OSRRefH22x_0" localSheetId="91">'Div 5'!$H$21:$H$28,'Div 5'!$H$30:$H$33,'Div 5'!$H$35,'Div 5'!$H$37,'Div 5'!$H$39,'Div 5'!$H$41,'Div 5'!$H$43,'Div 5'!$H$45</definedName>
    <definedName name="OSRRefH22x_0" localSheetId="62">'Div 6'!$H$48:$H$56,'Div 6'!$H$58:$H$60,'Div 6'!$H$62,'Div 6'!$H$64,'Div 6'!$H$66,'Div 6'!$H$68:$H$69,'Div 6'!$H$71,'Div 6'!$H$73,'Div 6'!$H$75:$H$77,'Div 6'!$H$79</definedName>
    <definedName name="OSRRefH22x_0" localSheetId="2">Summary!$H$125:$H$134,Summary!$H$136:$H$142,Summary!$H$144,Summary!$H$146,Summary!$H$148,Summary!$H$150:$H$151,Summary!$H$153:$H$154,Summary!$H$156,Summary!$H$158,Summary!$H$160:$H$161,Summary!$H$163,Summary!$H$165,Summary!$H$167,Summary!$H$169:$H$170,Summary!$H$172,Summary!$H$174,Summary!$H$176:$H$178,Summary!$H$180:$H$182,Summary!$H$184:$H$188,Summary!$H$190:$H$191,Summary!$H$193:$H$199,Summary!$H$201:$H$202,Summary!$H$204,Summary!$H$206:$H$208,Summary!$H$210</definedName>
    <definedName name="OSRRefH25x_0" localSheetId="48">'300'!$H$180:$H$182</definedName>
    <definedName name="OSRRefH25x_0" localSheetId="49">'300 &amp; 317'!$H$200:$H$204</definedName>
    <definedName name="OSRRefH25x_0" localSheetId="50">'301'!$H$83</definedName>
    <definedName name="OSRRefH25x_0" localSheetId="54">'308'!$H$94:$H$95</definedName>
    <definedName name="OSRRefH25x_0" localSheetId="71">'310 &amp; 491'!$H$86:$H$88</definedName>
    <definedName name="OSRRefH25x_0" localSheetId="55">'311'!$H$94:$H$95</definedName>
    <definedName name="OSRRefH25x_0" localSheetId="58">'315'!$H$111:$H$112</definedName>
    <definedName name="OSRRefH25x_0" localSheetId="61">'316'!$H$60</definedName>
    <definedName name="OSRRefH25x_0" localSheetId="63">'317'!$H$82:$H$84</definedName>
    <definedName name="OSRRefH25x_0" localSheetId="57">'331'!$H$127:$H$128</definedName>
    <definedName name="OSRRefH25x_0" localSheetId="60">'332'!$H$62:$H$63</definedName>
    <definedName name="OSRRefH25x_0" localSheetId="75">'411'!$H$57</definedName>
    <definedName name="OSRRefH25x_0" localSheetId="79">'415'!$H$75</definedName>
    <definedName name="OSRRefH25x_0" localSheetId="84">'455'!$H$21:$H$22</definedName>
    <definedName name="OSRRefH25x_0" localSheetId="72">'491'!$H$82:$H$84</definedName>
    <definedName name="OSRRefH25x_0" localSheetId="92">'501'!$H$48</definedName>
    <definedName name="OSRRefH25x_0" localSheetId="47">'Div 3'!$H$183:$H$185</definedName>
    <definedName name="OSRRefH25x_0" localSheetId="70">'Div 4'!$H$88:$H$90</definedName>
    <definedName name="OSRRefH25x_0" localSheetId="91">'Div 5'!$H$48</definedName>
    <definedName name="OSRRefH25x_0" localSheetId="62">'Div 6'!$H$82:$H$84</definedName>
    <definedName name="OSRRefH25x_0" localSheetId="2">Summary!$H$213:$H$219</definedName>
    <definedName name="OSRRefP13x_0" localSheetId="48">'300'!$P$13:$P$62</definedName>
    <definedName name="OSRRefP13x_0" localSheetId="49">'300 &amp; 317'!$P$13:$P$76</definedName>
    <definedName name="OSRRefP13x_0" localSheetId="54">'308'!$P$13:$P$28</definedName>
    <definedName name="OSRRefP13x_0" localSheetId="64">'310'!$P$13:$P$16</definedName>
    <definedName name="OSRRefP13x_0" localSheetId="71">'310 &amp; 491'!$P$13:$P$19</definedName>
    <definedName name="OSRRefP13x_0" localSheetId="55">'311'!$P$13:$P$28</definedName>
    <definedName name="OSRRefP13x_0" localSheetId="66">'313'!$P$13:$P$16</definedName>
    <definedName name="OSRRefP13x_0" localSheetId="58">'315'!$P$13:$P$48</definedName>
    <definedName name="OSRRefP13x_0" localSheetId="61">'316'!$P$13:$P$19</definedName>
    <definedName name="OSRRefP13x_0" localSheetId="63">'317'!$P$13:$P$30</definedName>
    <definedName name="OSRRefP13x_0" localSheetId="56">'324'!$P$13:$P$16</definedName>
    <definedName name="OSRRefP13x_0" localSheetId="59">'326'!$P$13:$P$30</definedName>
    <definedName name="OSRRefP13x_0" localSheetId="52">'330'!$P$13:$P$21</definedName>
    <definedName name="OSRRefP13x_0" localSheetId="57">'331'!$P$13:$P$48</definedName>
    <definedName name="OSRRefP13x_0" localSheetId="60">'332'!$P$13:$P$19</definedName>
    <definedName name="OSRRefP13x_0" localSheetId="78">'414'!$P$13</definedName>
    <definedName name="OSRRefP13x_0" localSheetId="79">'415'!$P$13:$P$14</definedName>
    <definedName name="OSRRefP13x_0" localSheetId="87">'433'!$P$13:$P$15</definedName>
    <definedName name="OSRRefP13x_0" localSheetId="89">'444'!$P$13:$P$15</definedName>
    <definedName name="OSRRefP13x_0" localSheetId="72">'491'!$P$13:$P$15</definedName>
    <definedName name="OSRRefP13x_0" localSheetId="85">'492'!$P$13:$P$15</definedName>
    <definedName name="OSRRefP13x_0" localSheetId="92">'501'!$P$13</definedName>
    <definedName name="OSRRefP13x_0" localSheetId="47">'Div 3'!$P$13:$P$62</definedName>
    <definedName name="OSRRefP13x_0" localSheetId="70">'Div 4'!$P$13:$P$17</definedName>
    <definedName name="OSRRefP13x_0" localSheetId="91">'Div 5'!$P$13</definedName>
    <definedName name="OSRRefP13x_0" localSheetId="62">'Div 6'!$P$13:$P$30</definedName>
    <definedName name="OSRRefP13x_0" localSheetId="2">Summary!$P$13:$P$81</definedName>
    <definedName name="OSRRefP16x_0" localSheetId="48">'300'!$P$65:$P$92</definedName>
    <definedName name="OSRRefP16x_0" localSheetId="49">'300 &amp; 317'!$P$79:$P$112</definedName>
    <definedName name="OSRRefP16x_0" localSheetId="53">'307'!$P$15</definedName>
    <definedName name="OSRRefP16x_0" localSheetId="54">'308'!$P$31:$P$43</definedName>
    <definedName name="OSRRefP16x_0" localSheetId="64">'310'!$P$19</definedName>
    <definedName name="OSRRefP16x_0" localSheetId="71">'310 &amp; 491'!$P$22:$P$23</definedName>
    <definedName name="OSRRefP16x_0" localSheetId="55">'311'!$P$31:$P$43</definedName>
    <definedName name="OSRRefP16x_0" localSheetId="58">'315'!$P$51:$P$66</definedName>
    <definedName name="OSRRefP16x_0" localSheetId="63">'317'!$P$33:$P$42</definedName>
    <definedName name="OSRRefP16x_0" localSheetId="68">'322'!$P$15</definedName>
    <definedName name="OSRRefP16x_0" localSheetId="56">'324'!$P$19:$P$21</definedName>
    <definedName name="OSRRefP16x_0" localSheetId="69">'325'!$P$15</definedName>
    <definedName name="OSRRefP16x_0" localSheetId="59">'326'!$P$33</definedName>
    <definedName name="OSRRefP16x_0" localSheetId="52">'330'!$P$24:$P$25</definedName>
    <definedName name="OSRRefP16x_0" localSheetId="57">'331'!$P$51:$P$66</definedName>
    <definedName name="OSRRefP16x_0" localSheetId="60">'332'!$P$22:$P$23</definedName>
    <definedName name="OSRRefP16x_0" localSheetId="79">'415'!$P$17:$P$18</definedName>
    <definedName name="OSRRefP16x_0" localSheetId="83">'425'!$P$15</definedName>
    <definedName name="OSRRefP16x_0" localSheetId="87">'433'!$P$18:$P$19</definedName>
    <definedName name="OSRRefP16x_0" localSheetId="89">'444'!$P$18:$P$19</definedName>
    <definedName name="OSRRefP16x_0" localSheetId="72">'491'!$P$18:$P$19</definedName>
    <definedName name="OSRRefP16x_0" localSheetId="85">'492'!$P$18:$P$19</definedName>
    <definedName name="OSRRefP16x_0" localSheetId="47">'Div 3'!$P$65:$P$93</definedName>
    <definedName name="OSRRefP16x_0" localSheetId="70">'Div 4'!$P$20:$P$21</definedName>
    <definedName name="OSRRefP16x_0" localSheetId="62">'Div 6'!$P$33:$P$42</definedName>
    <definedName name="OSRRefP16x_0" localSheetId="2">Summary!$P$84:$P$119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'300'!$P$98:$P$107</definedName>
    <definedName name="OSRRefP22_0x_0" localSheetId="49">'300 &amp; 317'!$P$118:$P$127</definedName>
    <definedName name="OSRRefP22_0x_0" localSheetId="50">'301'!$P$20:$P$29</definedName>
    <definedName name="OSRRefP22_0x_0" localSheetId="51">'306'!$P$20:$P$23</definedName>
    <definedName name="OSRRefP22_0x_0" localSheetId="53">'307'!$P$21</definedName>
    <definedName name="OSRRefP22_0x_0" localSheetId="54">'308'!$P$49:$P$57</definedName>
    <definedName name="OSRRefP22_0x_0" localSheetId="65">'309'!$P$20</definedName>
    <definedName name="OSRRefP22_0x_0" localSheetId="64">'310'!$P$25:$P$32</definedName>
    <definedName name="OSRRefP22_0x_0" localSheetId="71">'310 &amp; 491'!$P$29:$P$36</definedName>
    <definedName name="OSRRefP22_0x_0" localSheetId="55">'311'!$P$49:$P$57</definedName>
    <definedName name="OSRRefP22_0x_0" localSheetId="66">'313'!$P$24:$P$31</definedName>
    <definedName name="OSRRefP22_0x_0" localSheetId="58">'315'!$P$72:$P$79</definedName>
    <definedName name="OSRRefP22_0x_0" localSheetId="61">'316'!$P$27:$P$34</definedName>
    <definedName name="OSRRefP22_0x_0" localSheetId="63">'317'!$P$48:$P$56</definedName>
    <definedName name="OSRRefP22_0x_0" localSheetId="67">'321'!$P$20:$P$23</definedName>
    <definedName name="OSRRefP22_0x_0" localSheetId="68">'322'!$P$21:$P$25</definedName>
    <definedName name="OSRRefP22_0x_0" localSheetId="69">'325'!$P$21:$P$25</definedName>
    <definedName name="OSRRefP22_0x_0" localSheetId="59">'326'!$P$39:$P$46</definedName>
    <definedName name="OSRRefP22_0x_0" localSheetId="52">'330'!$P$31</definedName>
    <definedName name="OSRRefP22_0x_0" localSheetId="57">'331'!$P$72:$P$79</definedName>
    <definedName name="OSRRefP22_0x_0" localSheetId="60">'332'!$P$29:$P$36</definedName>
    <definedName name="OSRRefP22_0x_0" localSheetId="73">'405'!$P$20:$P$27</definedName>
    <definedName name="OSRRefP22_0x_0" localSheetId="74">'406'!$P$20</definedName>
    <definedName name="OSRRefP22_0x_0" localSheetId="75">'411'!$P$20:$P$27</definedName>
    <definedName name="OSRRefP22_0x_0" localSheetId="76">'412'!$P$20</definedName>
    <definedName name="OSRRefP22_0x_0" localSheetId="77">'413'!$P$20:$P$24</definedName>
    <definedName name="OSRRefP22_0x_0" localSheetId="78">'414'!$P$21</definedName>
    <definedName name="OSRRefP22_0x_0" localSheetId="79">'415'!$P$24:$P$31</definedName>
    <definedName name="OSRRefP22_0x_0" localSheetId="80">'418'!$P$20:$P$27</definedName>
    <definedName name="OSRRefP22_0x_0" localSheetId="81">'423'!$P$20:$P$21</definedName>
    <definedName name="OSRRefP22_0x_0" localSheetId="82">'424'!$P$20</definedName>
    <definedName name="OSRRefP22_0x_0" localSheetId="83">'425'!$P$21:$P$25</definedName>
    <definedName name="OSRRefP22_0x_0" localSheetId="86">'430'!$P$20:$P$27</definedName>
    <definedName name="OSRRefP22_0x_0" localSheetId="87">'433'!$P$25:$P$33</definedName>
    <definedName name="OSRRefP22_0x_0" localSheetId="88">'435'!$P$20</definedName>
    <definedName name="OSRRefP22_0x_0" localSheetId="89">'444'!$P$25:$P$33</definedName>
    <definedName name="OSRRefP22_0x_0" localSheetId="90">'450'!$P$20:$P$28</definedName>
    <definedName name="OSRRefP22_0x_0" localSheetId="72">'491'!$P$25:$P$32</definedName>
    <definedName name="OSRRefP22_0x_0" localSheetId="85">'492'!$P$25:$P$33</definedName>
    <definedName name="OSRRefP22_0x_0" localSheetId="92">'501'!$P$21:$P$28</definedName>
    <definedName name="OSRRefP22_0x_0" localSheetId="39">'Div 2'!$P$20:$P$29</definedName>
    <definedName name="OSRRefP22_0x_0" localSheetId="47">'Div 3'!$P$99:$P$108</definedName>
    <definedName name="OSRRefP22_0x_0" localSheetId="70">'Div 4'!$P$27:$P$35</definedName>
    <definedName name="OSRRefP22_0x_0" localSheetId="91">'Div 5'!$P$21:$P$28</definedName>
    <definedName name="OSRRefP22_0x_0" localSheetId="62">'Div 6'!$P$48:$P$56</definedName>
    <definedName name="OSRRefP22_0x_0" localSheetId="2">Summary!$P$125:$P$134</definedName>
    <definedName name="OSRRefP22_10x_0" localSheetId="41">'201'!$P$49</definedName>
    <definedName name="OSRRefP22_10x_0" localSheetId="42">'202'!$P$49</definedName>
    <definedName name="OSRRefP22_10x_0" localSheetId="48">'300'!$P$136</definedName>
    <definedName name="OSRRefP22_10x_0" localSheetId="49">'300 &amp; 317'!$P$156</definedName>
    <definedName name="OSRRefP22_10x_0" localSheetId="50">'301'!$P$56</definedName>
    <definedName name="OSRRefP22_10x_0" localSheetId="54">'308'!$P$83</definedName>
    <definedName name="OSRRefP22_10x_0" localSheetId="64">'310'!$P$55</definedName>
    <definedName name="OSRRefP22_10x_0" localSheetId="71">'310 &amp; 491'!$P$61</definedName>
    <definedName name="OSRRefP22_10x_0" localSheetId="55">'311'!$P$83</definedName>
    <definedName name="OSRRefP22_10x_0" localSheetId="58">'315'!$P$108</definedName>
    <definedName name="OSRRefP22_10x_0" localSheetId="59">'326'!$P$71</definedName>
    <definedName name="OSRRefP22_10x_0" localSheetId="57">'331'!$P$105</definedName>
    <definedName name="OSRRefP22_10x_0" localSheetId="75">'411'!$P$50</definedName>
    <definedName name="OSRRefP22_10x_0" localSheetId="79">'415'!$P$55:$P$56</definedName>
    <definedName name="OSRRefP22_10x_0" localSheetId="87">'433'!$P$61</definedName>
    <definedName name="OSRRefP22_10x_0" localSheetId="89">'444'!$P$59:$P$61</definedName>
    <definedName name="OSRRefP22_10x_0" localSheetId="72">'491'!$P$57</definedName>
    <definedName name="OSRRefP22_10x_0" localSheetId="85">'492'!$P$57:$P$59</definedName>
    <definedName name="OSRRefP22_10x_0" localSheetId="39">'Div 2'!$P$54:$P$55</definedName>
    <definedName name="OSRRefP22_10x_0" localSheetId="47">'Div 3'!$P$137</definedName>
    <definedName name="OSRRefP22_10x_0" localSheetId="70">'Div 4'!$P$60</definedName>
    <definedName name="OSRRefP22_10x_0" localSheetId="2">Summary!$P$163</definedName>
    <definedName name="OSRRefP22_11x_0" localSheetId="48">'300'!$P$138</definedName>
    <definedName name="OSRRefP22_11x_0" localSheetId="49">'300 &amp; 317'!$P$158</definedName>
    <definedName name="OSRRefP22_11x_0" localSheetId="50">'301'!$P$58</definedName>
    <definedName name="OSRRefP22_11x_0" localSheetId="54">'308'!$P$85:$P$86</definedName>
    <definedName name="OSRRefP22_11x_0" localSheetId="64">'310'!$P$57</definedName>
    <definedName name="OSRRefP22_11x_0" localSheetId="71">'310 &amp; 491'!$P$63:$P$64</definedName>
    <definedName name="OSRRefP22_11x_0" localSheetId="55">'311'!$P$85:$P$86</definedName>
    <definedName name="OSRRefP22_11x_0" localSheetId="59">'326'!$P$73:$P$75</definedName>
    <definedName name="OSRRefP22_11x_0" localSheetId="57">'331'!$P$107:$P$108</definedName>
    <definedName name="OSRRefP22_11x_0" localSheetId="75">'411'!$P$52</definedName>
    <definedName name="OSRRefP22_11x_0" localSheetId="79">'415'!$P$58:$P$60</definedName>
    <definedName name="OSRRefP22_11x_0" localSheetId="89">'444'!$P$63</definedName>
    <definedName name="OSRRefP22_11x_0" localSheetId="72">'491'!$P$59:$P$60</definedName>
    <definedName name="OSRRefP22_11x_0" localSheetId="85">'492'!$P$61:$P$63</definedName>
    <definedName name="OSRRefP22_11x_0" localSheetId="39">'Div 2'!$P$57:$P$59</definedName>
    <definedName name="OSRRefP22_11x_0" localSheetId="47">'Div 3'!$P$139</definedName>
    <definedName name="OSRRefP22_11x_0" localSheetId="70">'Div 4'!$P$62</definedName>
    <definedName name="OSRRefP22_11x_0" localSheetId="2">Summary!$P$165</definedName>
    <definedName name="OSRRefP22_12x_0" localSheetId="48">'300'!$P$140:$P$141</definedName>
    <definedName name="OSRRefP22_12x_0" localSheetId="49">'300 &amp; 317'!$P$160:$P$161</definedName>
    <definedName name="OSRRefP22_12x_0" localSheetId="50">'301'!$P$60:$P$62</definedName>
    <definedName name="OSRRefP22_12x_0" localSheetId="54">'308'!$P$88:$P$89</definedName>
    <definedName name="OSRRefP22_12x_0" localSheetId="71">'310 &amp; 491'!$P$66:$P$69</definedName>
    <definedName name="OSRRefP22_12x_0" localSheetId="55">'311'!$P$88:$P$89</definedName>
    <definedName name="OSRRefP22_12x_0" localSheetId="59">'326'!$P$77</definedName>
    <definedName name="OSRRefP22_12x_0" localSheetId="57">'331'!$P$110:$P$111</definedName>
    <definedName name="OSRRefP22_12x_0" localSheetId="75">'411'!$P$54</definedName>
    <definedName name="OSRRefP22_12x_0" localSheetId="79">'415'!$P$62</definedName>
    <definedName name="OSRRefP22_12x_0" localSheetId="72">'491'!$P$62:$P$65</definedName>
    <definedName name="OSRRefP22_12x_0" localSheetId="85">'492'!$P$65:$P$69</definedName>
    <definedName name="OSRRefP22_12x_0" localSheetId="39">'Div 2'!$P$61</definedName>
    <definedName name="OSRRefP22_12x_0" localSheetId="47">'Div 3'!$P$141</definedName>
    <definedName name="OSRRefP22_12x_0" localSheetId="70">'Div 4'!$P$64:$P$66</definedName>
    <definedName name="OSRRefP22_12x_0" localSheetId="2">Summary!$P$167</definedName>
    <definedName name="OSRRefP22_13x_0" localSheetId="48">'300'!$P$143</definedName>
    <definedName name="OSRRefP22_13x_0" localSheetId="49">'300 &amp; 317'!$P$163</definedName>
    <definedName name="OSRRefP22_13x_0" localSheetId="50">'301'!$P$64:$P$66</definedName>
    <definedName name="OSRRefP22_13x_0" localSheetId="54">'308'!$P$91</definedName>
    <definedName name="OSRRefP22_13x_0" localSheetId="71">'310 &amp; 491'!$P$71</definedName>
    <definedName name="OSRRefP22_13x_0" localSheetId="55">'311'!$P$91</definedName>
    <definedName name="OSRRefP22_13x_0" localSheetId="59">'326'!$P$79</definedName>
    <definedName name="OSRRefP22_13x_0" localSheetId="57">'331'!$P$113</definedName>
    <definedName name="OSRRefP22_13x_0" localSheetId="79">'415'!$P$64:$P$68</definedName>
    <definedName name="OSRRefP22_13x_0" localSheetId="72">'491'!$P$67</definedName>
    <definedName name="OSRRefP22_13x_0" localSheetId="85">'492'!$P$71</definedName>
    <definedName name="OSRRefP22_13x_0" localSheetId="39">'Div 2'!$P$63</definedName>
    <definedName name="OSRRefP22_13x_0" localSheetId="47">'Div 3'!$P$143:$P$144</definedName>
    <definedName name="OSRRefP22_13x_0" localSheetId="70">'Div 4'!$P$68:$P$71</definedName>
    <definedName name="OSRRefP22_13x_0" localSheetId="2">Summary!$P$169:$P$170</definedName>
    <definedName name="OSRRefP22_14x_0" localSheetId="48">'300'!$P$145:$P$147</definedName>
    <definedName name="OSRRefP22_14x_0" localSheetId="49">'300 &amp; 317'!$P$165:$P$167</definedName>
    <definedName name="OSRRefP22_14x_0" localSheetId="50">'301'!$P$68:$P$71</definedName>
    <definedName name="OSRRefP22_14x_0" localSheetId="71">'310 &amp; 491'!$P$73:$P$77</definedName>
    <definedName name="OSRRefP22_14x_0" localSheetId="59">'326'!$P$81</definedName>
    <definedName name="OSRRefP22_14x_0" localSheetId="57">'331'!$P$115:$P$118</definedName>
    <definedName name="OSRRefP22_14x_0" localSheetId="79">'415'!$P$70</definedName>
    <definedName name="OSRRefP22_14x_0" localSheetId="72">'491'!$P$69:$P$73</definedName>
    <definedName name="OSRRefP22_14x_0" localSheetId="39">'Div 2'!$P$65:$P$68</definedName>
    <definedName name="OSRRefP22_14x_0" localSheetId="47">'Div 3'!$P$146</definedName>
    <definedName name="OSRRefP22_14x_0" localSheetId="70">'Div 4'!$P$73</definedName>
    <definedName name="OSRRefP22_14x_0" localSheetId="2">Summary!$P$172</definedName>
    <definedName name="OSRRefP22_15x_0" localSheetId="48">'300'!$P$149:$P$151</definedName>
    <definedName name="OSRRefP22_15x_0" localSheetId="49">'300 &amp; 317'!$P$169:$P$171</definedName>
    <definedName name="OSRRefP22_15x_0" localSheetId="50">'301'!$P$73</definedName>
    <definedName name="OSRRefP22_15x_0" localSheetId="71">'310 &amp; 491'!$P$79</definedName>
    <definedName name="OSRRefP22_15x_0" localSheetId="57">'331'!$P$120</definedName>
    <definedName name="OSRRefP22_15x_0" localSheetId="79">'415'!$P$72</definedName>
    <definedName name="OSRRefP22_15x_0" localSheetId="72">'491'!$P$75</definedName>
    <definedName name="OSRRefP22_15x_0" localSheetId="39">'Div 2'!$P$70:$P$71</definedName>
    <definedName name="OSRRefP22_15x_0" localSheetId="47">'Div 3'!$P$148:$P$150</definedName>
    <definedName name="OSRRefP22_15x_0" localSheetId="70">'Div 4'!$P$75:$P$79</definedName>
    <definedName name="OSRRefP22_15x_0" localSheetId="2">Summary!$P$174</definedName>
    <definedName name="OSRRefP22_16x_0" localSheetId="48">'300'!$P$153:$P$156</definedName>
    <definedName name="OSRRefP22_16x_0" localSheetId="49">'300 &amp; 317'!$P$173:$P$176</definedName>
    <definedName name="OSRRefP22_16x_0" localSheetId="50">'301'!$P$75</definedName>
    <definedName name="OSRRefP22_16x_0" localSheetId="71">'310 &amp; 491'!$P$81</definedName>
    <definedName name="OSRRefP22_16x_0" localSheetId="57">'331'!$P$122</definedName>
    <definedName name="OSRRefP22_16x_0" localSheetId="72">'491'!$P$77</definedName>
    <definedName name="OSRRefP22_16x_0" localSheetId="39">'Div 2'!$P$73</definedName>
    <definedName name="OSRRefP22_16x_0" localSheetId="47">'Div 3'!$P$152:$P$154</definedName>
    <definedName name="OSRRefP22_16x_0" localSheetId="70">'Div 4'!$P$81</definedName>
    <definedName name="OSRRefP22_16x_0" localSheetId="2">Summary!$P$176:$P$178</definedName>
    <definedName name="OSRRefP22_17x_0" localSheetId="48">'300'!$P$158:$P$159</definedName>
    <definedName name="OSRRefP22_17x_0" localSheetId="49">'300 &amp; 317'!$P$178:$P$179</definedName>
    <definedName name="OSRRefP22_17x_0" localSheetId="50">'301'!$P$77:$P$78</definedName>
    <definedName name="OSRRefP22_17x_0" localSheetId="71">'310 &amp; 491'!$P$83</definedName>
    <definedName name="OSRRefP22_17x_0" localSheetId="57">'331'!$P$124</definedName>
    <definedName name="OSRRefP22_17x_0" localSheetId="72">'491'!$P$79</definedName>
    <definedName name="OSRRefP22_17x_0" localSheetId="47">'Div 3'!$P$156:$P$159</definedName>
    <definedName name="OSRRefP22_17x_0" localSheetId="70">'Div 4'!$P$83</definedName>
    <definedName name="OSRRefP22_17x_0" localSheetId="2">Summary!$P$180:$P$182</definedName>
    <definedName name="OSRRefP22_18x_0" localSheetId="48">'300'!$P$161:$P$166</definedName>
    <definedName name="OSRRefP22_18x_0" localSheetId="49">'300 &amp; 317'!$P$181:$P$186</definedName>
    <definedName name="OSRRefP22_18x_0" localSheetId="50">'301'!$P$80</definedName>
    <definedName name="OSRRefP22_18x_0" localSheetId="47">'Div 3'!$P$161:$P$162</definedName>
    <definedName name="OSRRefP22_18x_0" localSheetId="70">'Div 4'!$P$85</definedName>
    <definedName name="OSRRefP22_18x_0" localSheetId="2">Summary!$P$184:$P$188</definedName>
    <definedName name="OSRRefP22_19x_0" localSheetId="48">'300'!$P$168:$P$169</definedName>
    <definedName name="OSRRefP22_19x_0" localSheetId="49">'300 &amp; 317'!$P$188:$P$189</definedName>
    <definedName name="OSRRefP22_19x_0" localSheetId="47">'Div 3'!$P$164:$P$169</definedName>
    <definedName name="OSRRefP22_19x_0" localSheetId="2">Summary!$P$190:$P$191</definedName>
    <definedName name="OSRRefP22_1x_0" localSheetId="40">'200'!$P$22</definedName>
    <definedName name="OSRRefP22_1x_0" localSheetId="41">'201'!$P$29:$P$30</definedName>
    <definedName name="OSRRefP22_1x_0" localSheetId="42">'202'!$P$29</definedName>
    <definedName name="OSRRefP22_1x_0" localSheetId="43">'203'!$P$30:$P$33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'300'!$P$109:$P$115</definedName>
    <definedName name="OSRRefP22_1x_0" localSheetId="49">'300 &amp; 317'!$P$129:$P$135</definedName>
    <definedName name="OSRRefP22_1x_0" localSheetId="50">'301'!$P$31:$P$37</definedName>
    <definedName name="OSRRefP22_1x_0" localSheetId="51">'306'!$P$25:$P$26</definedName>
    <definedName name="OSRRefP22_1x_0" localSheetId="53">'307'!$P$23</definedName>
    <definedName name="OSRRefP22_1x_0" localSheetId="54">'308'!$P$59:$P$64</definedName>
    <definedName name="OSRRefP22_1x_0" localSheetId="65">'309'!$P$22</definedName>
    <definedName name="OSRRefP22_1x_0" localSheetId="64">'310'!$P$34</definedName>
    <definedName name="OSRRefP22_1x_0" localSheetId="71">'310 &amp; 491'!$P$38:$P$42</definedName>
    <definedName name="OSRRefP22_1x_0" localSheetId="55">'311'!$P$59:$P$64</definedName>
    <definedName name="OSRRefP22_1x_0" localSheetId="66">'313'!$P$33</definedName>
    <definedName name="OSRRefP22_1x_0" localSheetId="58">'315'!$P$81:$P$85</definedName>
    <definedName name="OSRRefP22_1x_0" localSheetId="61">'316'!$P$36:$P$37</definedName>
    <definedName name="OSRRefP22_1x_0" localSheetId="63">'317'!$P$58:$P$60</definedName>
    <definedName name="OSRRefP22_1x_0" localSheetId="67">'321'!$P$25</definedName>
    <definedName name="OSRRefP22_1x_0" localSheetId="68">'322'!$P$27</definedName>
    <definedName name="OSRRefP22_1x_0" localSheetId="69">'325'!$P$27</definedName>
    <definedName name="OSRRefP22_1x_0" localSheetId="59">'326'!$P$48:$P$52</definedName>
    <definedName name="OSRRefP22_1x_0" localSheetId="52">'330'!$P$33</definedName>
    <definedName name="OSRRefP22_1x_0" localSheetId="57">'331'!$P$81:$P$85</definedName>
    <definedName name="OSRRefP22_1x_0" localSheetId="60">'332'!$P$38:$P$39</definedName>
    <definedName name="OSRRefP22_1x_0" localSheetId="73">'405'!$P$29:$P$30</definedName>
    <definedName name="OSRRefP22_1x_0" localSheetId="74">'406'!$P$22</definedName>
    <definedName name="OSRRefP22_1x_0" localSheetId="75">'411'!$P$29:$P$30</definedName>
    <definedName name="OSRRefP22_1x_0" localSheetId="76">'412'!$P$22</definedName>
    <definedName name="OSRRefP22_1x_0" localSheetId="77">'413'!$P$26</definedName>
    <definedName name="OSRRefP22_1x_0" localSheetId="78">'414'!$P$23</definedName>
    <definedName name="OSRRefP22_1x_0" localSheetId="79">'415'!$P$33:$P$36</definedName>
    <definedName name="OSRRefP22_1x_0" localSheetId="80">'418'!$P$29:$P$32</definedName>
    <definedName name="OSRRefP22_1x_0" localSheetId="81">'423'!$P$23</definedName>
    <definedName name="OSRRefP22_1x_0" localSheetId="82">'424'!$P$22</definedName>
    <definedName name="OSRRefP22_1x_0" localSheetId="83">'425'!$P$27</definedName>
    <definedName name="OSRRefP22_1x_0" localSheetId="86">'430'!$P$29</definedName>
    <definedName name="OSRRefP22_1x_0" localSheetId="87">'433'!$P$35:$P$37</definedName>
    <definedName name="OSRRefP22_1x_0" localSheetId="89">'444'!$P$35:$P$38</definedName>
    <definedName name="OSRRefP22_1x_0" localSheetId="90">'450'!$P$30:$P$32</definedName>
    <definedName name="OSRRefP22_1x_0" localSheetId="72">'491'!$P$34:$P$38</definedName>
    <definedName name="OSRRefP22_1x_0" localSheetId="85">'492'!$P$35:$P$39</definedName>
    <definedName name="OSRRefP22_1x_0" localSheetId="92">'501'!$P$30:$P$33</definedName>
    <definedName name="OSRRefP22_1x_0" localSheetId="39">'Div 2'!$P$31:$P$36</definedName>
    <definedName name="OSRRefP22_1x_0" localSheetId="47">'Div 3'!$P$110:$P$116</definedName>
    <definedName name="OSRRefP22_1x_0" localSheetId="70">'Div 4'!$P$37:$P$41</definedName>
    <definedName name="OSRRefP22_1x_0" localSheetId="91">'Div 5'!$P$30:$P$33</definedName>
    <definedName name="OSRRefP22_1x_0" localSheetId="62">'Div 6'!$P$58:$P$60</definedName>
    <definedName name="OSRRefP22_1x_0" localSheetId="2">Summary!$P$136:$P$142</definedName>
    <definedName name="OSRRefP22_20x_0" localSheetId="48">'300'!$P$171</definedName>
    <definedName name="OSRRefP22_20x_0" localSheetId="49">'300 &amp; 317'!$P$191</definedName>
    <definedName name="OSRRefP22_20x_0" localSheetId="47">'Div 3'!$P$171:$P$172</definedName>
    <definedName name="OSRRefP22_20x_0" localSheetId="2">Summary!$P$193:$P$199</definedName>
    <definedName name="OSRRefP22_21x_0" localSheetId="48">'300'!$P$173:$P$175</definedName>
    <definedName name="OSRRefP22_21x_0" localSheetId="49">'300 &amp; 317'!$P$193:$P$195</definedName>
    <definedName name="OSRRefP22_21x_0" localSheetId="47">'Div 3'!$P$174</definedName>
    <definedName name="OSRRefP22_21x_0" localSheetId="2">Summary!$P$201:$P$202</definedName>
    <definedName name="OSRRefP22_22x_0" localSheetId="48">'300'!$P$177</definedName>
    <definedName name="OSRRefP22_22x_0" localSheetId="49">'300 &amp; 317'!$P$197</definedName>
    <definedName name="OSRRefP22_22x_0" localSheetId="47">'Div 3'!$P$176:$P$178</definedName>
    <definedName name="OSRRefP22_22x_0" localSheetId="2">Summary!$P$204</definedName>
    <definedName name="OSRRefP22_23x_0" localSheetId="47">'Div 3'!$P$180</definedName>
    <definedName name="OSRRefP22_23x_0" localSheetId="2">Summary!$P$206:$P$208</definedName>
    <definedName name="OSRRefP22_24x_0" localSheetId="2">Summary!$P$210</definedName>
    <definedName name="OSRRefP22_2x_0" localSheetId="40">'200'!$P$24</definedName>
    <definedName name="OSRRefP22_2x_0" localSheetId="41">'201'!$P$32</definedName>
    <definedName name="OSRRefP22_2x_0" localSheetId="42">'202'!$P$31</definedName>
    <definedName name="OSRRefP22_2x_0" localSheetId="43">'203'!$P$35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'300'!$P$117</definedName>
    <definedName name="OSRRefP22_2x_0" localSheetId="49">'300 &amp; 317'!$P$137</definedName>
    <definedName name="OSRRefP22_2x_0" localSheetId="50">'301'!$P$39</definedName>
    <definedName name="OSRRefP22_2x_0" localSheetId="51">'306'!$P$28</definedName>
    <definedName name="OSRRefP22_2x_0" localSheetId="53">'307'!$P$25</definedName>
    <definedName name="OSRRefP22_2x_0" localSheetId="54">'308'!$P$66</definedName>
    <definedName name="OSRRefP22_2x_0" localSheetId="65">'309'!$P$24:$P$25</definedName>
    <definedName name="OSRRefP22_2x_0" localSheetId="64">'310'!$P$36</definedName>
    <definedName name="OSRRefP22_2x_0" localSheetId="71">'310 &amp; 491'!$P$44</definedName>
    <definedName name="OSRRefP22_2x_0" localSheetId="55">'311'!$P$66</definedName>
    <definedName name="OSRRefP22_2x_0" localSheetId="66">'313'!$P$35</definedName>
    <definedName name="OSRRefP22_2x_0" localSheetId="58">'315'!$P$87</definedName>
    <definedName name="OSRRefP22_2x_0" localSheetId="61">'316'!$P$39</definedName>
    <definedName name="OSRRefP22_2x_0" localSheetId="63">'317'!$P$62</definedName>
    <definedName name="OSRRefP22_2x_0" localSheetId="67">'321'!$P$27</definedName>
    <definedName name="OSRRefP22_2x_0" localSheetId="68">'322'!$P$29</definedName>
    <definedName name="OSRRefP22_2x_0" localSheetId="69">'325'!$P$29</definedName>
    <definedName name="OSRRefP22_2x_0" localSheetId="59">'326'!$P$54</definedName>
    <definedName name="OSRRefP22_2x_0" localSheetId="52">'330'!$P$35</definedName>
    <definedName name="OSRRefP22_2x_0" localSheetId="57">'331'!$P$87</definedName>
    <definedName name="OSRRefP22_2x_0" localSheetId="60">'332'!$P$41</definedName>
    <definedName name="OSRRefP22_2x_0" localSheetId="73">'405'!$P$32</definedName>
    <definedName name="OSRRefP22_2x_0" localSheetId="74">'406'!$P$24</definedName>
    <definedName name="OSRRefP22_2x_0" localSheetId="75">'411'!$P$32</definedName>
    <definedName name="OSRRefP22_2x_0" localSheetId="76">'412'!$P$24</definedName>
    <definedName name="OSRRefP22_2x_0" localSheetId="77">'413'!$P$28</definedName>
    <definedName name="OSRRefP22_2x_0" localSheetId="79">'415'!$P$38</definedName>
    <definedName name="OSRRefP22_2x_0" localSheetId="80">'418'!$P$34</definedName>
    <definedName name="OSRRefP22_2x_0" localSheetId="81">'423'!$P$25</definedName>
    <definedName name="OSRRefP22_2x_0" localSheetId="82">'424'!$P$24</definedName>
    <definedName name="OSRRefP22_2x_0" localSheetId="83">'425'!$P$29</definedName>
    <definedName name="OSRRefP22_2x_0" localSheetId="86">'430'!$P$31</definedName>
    <definedName name="OSRRefP22_2x_0" localSheetId="87">'433'!$P$39</definedName>
    <definedName name="OSRRefP22_2x_0" localSheetId="89">'444'!$P$40</definedName>
    <definedName name="OSRRefP22_2x_0" localSheetId="90">'450'!$P$34</definedName>
    <definedName name="OSRRefP22_2x_0" localSheetId="72">'491'!$P$40</definedName>
    <definedName name="OSRRefP22_2x_0" localSheetId="85">'492'!$P$41</definedName>
    <definedName name="OSRRefP22_2x_0" localSheetId="92">'501'!$P$35</definedName>
    <definedName name="OSRRefP22_2x_0" localSheetId="39">'Div 2'!$P$38</definedName>
    <definedName name="OSRRefP22_2x_0" localSheetId="47">'Div 3'!$P$118</definedName>
    <definedName name="OSRRefP22_2x_0" localSheetId="70">'Div 4'!$P$43</definedName>
    <definedName name="OSRRefP22_2x_0" localSheetId="91">'Div 5'!$P$35</definedName>
    <definedName name="OSRRefP22_2x_0" localSheetId="62">'Div 6'!$P$62</definedName>
    <definedName name="OSRRefP22_2x_0" localSheetId="2">Summary!$P$144</definedName>
    <definedName name="OSRRefP22_3x_0" localSheetId="41">'201'!$P$34</definedName>
    <definedName name="OSRRefP22_3x_0" localSheetId="42">'202'!$P$33</definedName>
    <definedName name="OSRRefP22_3x_0" localSheetId="43">'203'!$P$37</definedName>
    <definedName name="OSRRefP22_3x_0" localSheetId="44">'204'!$P$36</definedName>
    <definedName name="OSRRefP22_3x_0" localSheetId="45">'205'!$P$33:$P$34</definedName>
    <definedName name="OSRRefP22_3x_0" localSheetId="46">'206'!$P$34</definedName>
    <definedName name="OSRRefP22_3x_0" localSheetId="48">'300'!$P$119</definedName>
    <definedName name="OSRRefP22_3x_0" localSheetId="49">'300 &amp; 317'!$P$139</definedName>
    <definedName name="OSRRefP22_3x_0" localSheetId="50">'301'!$P$41</definedName>
    <definedName name="OSRRefP22_3x_0" localSheetId="51">'306'!$P$30</definedName>
    <definedName name="OSRRefP22_3x_0" localSheetId="53">'307'!$P$27:$P$28</definedName>
    <definedName name="OSRRefP22_3x_0" localSheetId="54">'308'!$P$68</definedName>
    <definedName name="OSRRefP22_3x_0" localSheetId="65">'309'!$P$27</definedName>
    <definedName name="OSRRefP22_3x_0" localSheetId="64">'310'!$P$38:$P$39</definedName>
    <definedName name="OSRRefP22_3x_0" localSheetId="71">'310 &amp; 491'!$P$46</definedName>
    <definedName name="OSRRefP22_3x_0" localSheetId="55">'311'!$P$68</definedName>
    <definedName name="OSRRefP22_3x_0" localSheetId="66">'313'!$P$37</definedName>
    <definedName name="OSRRefP22_3x_0" localSheetId="58">'315'!$P$89</definedName>
    <definedName name="OSRRefP22_3x_0" localSheetId="61">'316'!$P$41</definedName>
    <definedName name="OSRRefP22_3x_0" localSheetId="63">'317'!$P$64</definedName>
    <definedName name="OSRRefP22_3x_0" localSheetId="67">'321'!$P$29</definedName>
    <definedName name="OSRRefP22_3x_0" localSheetId="68">'322'!$P$31</definedName>
    <definedName name="OSRRefP22_3x_0" localSheetId="69">'325'!$P$31:$P$32</definedName>
    <definedName name="OSRRefP22_3x_0" localSheetId="59">'326'!$P$56</definedName>
    <definedName name="OSRRefP22_3x_0" localSheetId="52">'330'!$P$37</definedName>
    <definedName name="OSRRefP22_3x_0" localSheetId="57">'331'!$P$89</definedName>
    <definedName name="OSRRefP22_3x_0" localSheetId="60">'332'!$P$43</definedName>
    <definedName name="OSRRefP22_3x_0" localSheetId="73">'405'!$P$34:$P$35</definedName>
    <definedName name="OSRRefP22_3x_0" localSheetId="74">'406'!$P$26</definedName>
    <definedName name="OSRRefP22_3x_0" localSheetId="75">'411'!$P$34:$P$35</definedName>
    <definedName name="OSRRefP22_3x_0" localSheetId="76">'412'!$P$26</definedName>
    <definedName name="OSRRefP22_3x_0" localSheetId="77">'413'!$P$30</definedName>
    <definedName name="OSRRefP22_3x_0" localSheetId="79">'415'!$P$40</definedName>
    <definedName name="OSRRefP22_3x_0" localSheetId="80">'418'!$P$36</definedName>
    <definedName name="OSRRefP22_3x_0" localSheetId="83">'425'!$P$31</definedName>
    <definedName name="OSRRefP22_3x_0" localSheetId="86">'430'!$P$33</definedName>
    <definedName name="OSRRefP22_3x_0" localSheetId="87">'433'!$P$41</definedName>
    <definedName name="OSRRefP22_3x_0" localSheetId="89">'444'!$P$42</definedName>
    <definedName name="OSRRefP22_3x_0" localSheetId="90">'450'!$P$36</definedName>
    <definedName name="OSRRefP22_3x_0" localSheetId="72">'491'!$P$42</definedName>
    <definedName name="OSRRefP22_3x_0" localSheetId="85">'492'!$P$43</definedName>
    <definedName name="OSRRefP22_3x_0" localSheetId="92">'501'!$P$37</definedName>
    <definedName name="OSRRefP22_3x_0" localSheetId="39">'Div 2'!$P$40</definedName>
    <definedName name="OSRRefP22_3x_0" localSheetId="47">'Div 3'!$P$120</definedName>
    <definedName name="OSRRefP22_3x_0" localSheetId="70">'Div 4'!$P$45</definedName>
    <definedName name="OSRRefP22_3x_0" localSheetId="91">'Div 5'!$P$37</definedName>
    <definedName name="OSRRefP22_3x_0" localSheetId="62">'Div 6'!$P$64</definedName>
    <definedName name="OSRRefP22_3x_0" localSheetId="2">Summary!$P$146</definedName>
    <definedName name="OSRRefP22_4x_0" localSheetId="41">'201'!$P$36</definedName>
    <definedName name="OSRRefP22_4x_0" localSheetId="42">'202'!$P$35</definedName>
    <definedName name="OSRRefP22_4x_0" localSheetId="43">'203'!$P$39</definedName>
    <definedName name="OSRRefP22_4x_0" localSheetId="44">'204'!$P$38:$P$39</definedName>
    <definedName name="OSRRefP22_4x_0" localSheetId="45">'205'!$P$36</definedName>
    <definedName name="OSRRefP22_4x_0" localSheetId="46">'206'!$P$36</definedName>
    <definedName name="OSRRefP22_4x_0" localSheetId="48">'300'!$P$121</definedName>
    <definedName name="OSRRefP22_4x_0" localSheetId="49">'300 &amp; 317'!$P$141</definedName>
    <definedName name="OSRRefP22_4x_0" localSheetId="50">'301'!$P$43:$P$44</definedName>
    <definedName name="OSRRefP22_4x_0" localSheetId="53">'307'!$P$30</definedName>
    <definedName name="OSRRefP22_4x_0" localSheetId="54">'308'!$P$70</definedName>
    <definedName name="OSRRefP22_4x_0" localSheetId="64">'310'!$P$41</definedName>
    <definedName name="OSRRefP22_4x_0" localSheetId="71">'310 &amp; 491'!$P$48</definedName>
    <definedName name="OSRRefP22_4x_0" localSheetId="55">'311'!$P$70</definedName>
    <definedName name="OSRRefP22_4x_0" localSheetId="58">'315'!$P$91</definedName>
    <definedName name="OSRRefP22_4x_0" localSheetId="61">'316'!$P$43:$P$44</definedName>
    <definedName name="OSRRefP22_4x_0" localSheetId="63">'317'!$P$66</definedName>
    <definedName name="OSRRefP22_4x_0" localSheetId="67">'321'!$P$31</definedName>
    <definedName name="OSRRefP22_4x_0" localSheetId="68">'322'!$P$33</definedName>
    <definedName name="OSRRefP22_4x_0" localSheetId="69">'325'!$P$34</definedName>
    <definedName name="OSRRefP22_4x_0" localSheetId="59">'326'!$P$58</definedName>
    <definedName name="OSRRefP22_4x_0" localSheetId="52">'330'!$P$39</definedName>
    <definedName name="OSRRefP22_4x_0" localSheetId="57">'331'!$P$91</definedName>
    <definedName name="OSRRefP22_4x_0" localSheetId="60">'332'!$P$45:$P$46</definedName>
    <definedName name="OSRRefP22_4x_0" localSheetId="73">'405'!$P$37</definedName>
    <definedName name="OSRRefP22_4x_0" localSheetId="75">'411'!$P$37</definedName>
    <definedName name="OSRRefP22_4x_0" localSheetId="77">'413'!$P$32</definedName>
    <definedName name="OSRRefP22_4x_0" localSheetId="79">'415'!$P$42</definedName>
    <definedName name="OSRRefP22_4x_0" localSheetId="80">'418'!$P$38:$P$39</definedName>
    <definedName name="OSRRefP22_4x_0" localSheetId="86">'430'!$P$35</definedName>
    <definedName name="OSRRefP22_4x_0" localSheetId="87">'433'!$P$43</definedName>
    <definedName name="OSRRefP22_4x_0" localSheetId="89">'444'!$P$44</definedName>
    <definedName name="OSRRefP22_4x_0" localSheetId="90">'450'!$P$38</definedName>
    <definedName name="OSRRefP22_4x_0" localSheetId="72">'491'!$P$44</definedName>
    <definedName name="OSRRefP22_4x_0" localSheetId="85">'492'!$P$45</definedName>
    <definedName name="OSRRefP22_4x_0" localSheetId="92">'501'!$P$39</definedName>
    <definedName name="OSRRefP22_4x_0" localSheetId="39">'Div 2'!$P$42</definedName>
    <definedName name="OSRRefP22_4x_0" localSheetId="47">'Div 3'!$P$122</definedName>
    <definedName name="OSRRefP22_4x_0" localSheetId="70">'Div 4'!$P$47</definedName>
    <definedName name="OSRRefP22_4x_0" localSheetId="91">'Div 5'!$P$39</definedName>
    <definedName name="OSRRefP22_4x_0" localSheetId="62">'Div 6'!$P$66</definedName>
    <definedName name="OSRRefP22_4x_0" localSheetId="2">Summary!$P$148</definedName>
    <definedName name="OSRRefP22_5x_0" localSheetId="41">'201'!$P$38</definedName>
    <definedName name="OSRRefP22_5x_0" localSheetId="42">'202'!$P$37</definedName>
    <definedName name="OSRRefP22_5x_0" localSheetId="43">'203'!$P$41:$P$42</definedName>
    <definedName name="OSRRefP22_5x_0" localSheetId="44">'204'!$P$41</definedName>
    <definedName name="OSRRefP22_5x_0" localSheetId="48">'300'!$P$123:$P$124</definedName>
    <definedName name="OSRRefP22_5x_0" localSheetId="49">'300 &amp; 317'!$P$143:$P$144</definedName>
    <definedName name="OSRRefP22_5x_0" localSheetId="50">'301'!$P$46</definedName>
    <definedName name="OSRRefP22_5x_0" localSheetId="53">'307'!$P$32</definedName>
    <definedName name="OSRRefP22_5x_0" localSheetId="54">'308'!$P$72</definedName>
    <definedName name="OSRRefP22_5x_0" localSheetId="64">'310'!$P$43</definedName>
    <definedName name="OSRRefP22_5x_0" localSheetId="71">'310 &amp; 491'!$P$50:$P$51</definedName>
    <definedName name="OSRRefP22_5x_0" localSheetId="55">'311'!$P$72</definedName>
    <definedName name="OSRRefP22_5x_0" localSheetId="58">'315'!$P$93:$P$94</definedName>
    <definedName name="OSRRefP22_5x_0" localSheetId="61">'316'!$P$46:$P$47</definedName>
    <definedName name="OSRRefP22_5x_0" localSheetId="63">'317'!$P$68:$P$69</definedName>
    <definedName name="OSRRefP22_5x_0" localSheetId="67">'321'!$P$33</definedName>
    <definedName name="OSRRefP22_5x_0" localSheetId="69">'325'!$P$36</definedName>
    <definedName name="OSRRefP22_5x_0" localSheetId="59">'326'!$P$60</definedName>
    <definedName name="OSRRefP22_5x_0" localSheetId="52">'330'!$P$41</definedName>
    <definedName name="OSRRefP22_5x_0" localSheetId="57">'331'!$P$93</definedName>
    <definedName name="OSRRefP22_5x_0" localSheetId="60">'332'!$P$48:$P$49</definedName>
    <definedName name="OSRRefP22_5x_0" localSheetId="73">'405'!$P$39</definedName>
    <definedName name="OSRRefP22_5x_0" localSheetId="75">'411'!$P$39</definedName>
    <definedName name="OSRRefP22_5x_0" localSheetId="79">'415'!$P$44:$P$45</definedName>
    <definedName name="OSRRefP22_5x_0" localSheetId="80">'418'!$P$41</definedName>
    <definedName name="OSRRefP22_5x_0" localSheetId="86">'430'!$P$37</definedName>
    <definedName name="OSRRefP22_5x_0" localSheetId="87">'433'!$P$45</definedName>
    <definedName name="OSRRefP22_5x_0" localSheetId="89">'444'!$P$46</definedName>
    <definedName name="OSRRefP22_5x_0" localSheetId="90">'450'!$P$40</definedName>
    <definedName name="OSRRefP22_5x_0" localSheetId="72">'491'!$P$46:$P$47</definedName>
    <definedName name="OSRRefP22_5x_0" localSheetId="85">'492'!$P$47</definedName>
    <definedName name="OSRRefP22_5x_0" localSheetId="92">'501'!$P$41</definedName>
    <definedName name="OSRRefP22_5x_0" localSheetId="39">'Div 2'!$P$44</definedName>
    <definedName name="OSRRefP22_5x_0" localSheetId="47">'Div 3'!$P$124:$P$125</definedName>
    <definedName name="OSRRefP22_5x_0" localSheetId="70">'Div 4'!$P$49:$P$50</definedName>
    <definedName name="OSRRefP22_5x_0" localSheetId="91">'Div 5'!$P$41</definedName>
    <definedName name="OSRRefP22_5x_0" localSheetId="62">'Div 6'!$P$68:$P$69</definedName>
    <definedName name="OSRRefP22_5x_0" localSheetId="2">Summary!$P$150:$P$151</definedName>
    <definedName name="OSRRefP22_6x_0" localSheetId="41">'201'!$P$40</definedName>
    <definedName name="OSRRefP22_6x_0" localSheetId="42">'202'!$P$39:$P$40</definedName>
    <definedName name="OSRRefP22_6x_0" localSheetId="43">'203'!$P$44</definedName>
    <definedName name="OSRRefP22_6x_0" localSheetId="44">'204'!$P$43:$P$44</definedName>
    <definedName name="OSRRefP22_6x_0" localSheetId="48">'300'!$P$126:$P$127</definedName>
    <definedName name="OSRRefP22_6x_0" localSheetId="49">'300 &amp; 317'!$P$146:$P$147</definedName>
    <definedName name="OSRRefP22_6x_0" localSheetId="50">'301'!$P$48</definedName>
    <definedName name="OSRRefP22_6x_0" localSheetId="54">'308'!$P$74</definedName>
    <definedName name="OSRRefP22_6x_0" localSheetId="64">'310'!$P$45</definedName>
    <definedName name="OSRRefP22_6x_0" localSheetId="71">'310 &amp; 491'!$P$53</definedName>
    <definedName name="OSRRefP22_6x_0" localSheetId="55">'311'!$P$74</definedName>
    <definedName name="OSRRefP22_6x_0" localSheetId="58">'315'!$P$96:$P$97</definedName>
    <definedName name="OSRRefP22_6x_0" localSheetId="61">'316'!$P$49</definedName>
    <definedName name="OSRRefP22_6x_0" localSheetId="63">'317'!$P$71</definedName>
    <definedName name="OSRRefP22_6x_0" localSheetId="67">'321'!$P$35:$P$36</definedName>
    <definedName name="OSRRefP22_6x_0" localSheetId="69">'325'!$P$38</definedName>
    <definedName name="OSRRefP22_6x_0" localSheetId="59">'326'!$P$62</definedName>
    <definedName name="OSRRefP22_6x_0" localSheetId="52">'330'!$P$43:$P$44</definedName>
    <definedName name="OSRRefP22_6x_0" localSheetId="57">'331'!$P$95</definedName>
    <definedName name="OSRRefP22_6x_0" localSheetId="60">'332'!$P$51</definedName>
    <definedName name="OSRRefP22_6x_0" localSheetId="73">'405'!$P$41</definedName>
    <definedName name="OSRRefP22_6x_0" localSheetId="75">'411'!$P$41</definedName>
    <definedName name="OSRRefP22_6x_0" localSheetId="79">'415'!$P$47</definedName>
    <definedName name="OSRRefP22_6x_0" localSheetId="80">'418'!$P$43</definedName>
    <definedName name="OSRRefP22_6x_0" localSheetId="87">'433'!$P$47</definedName>
    <definedName name="OSRRefP22_6x_0" localSheetId="89">'444'!$P$48</definedName>
    <definedName name="OSRRefP22_6x_0" localSheetId="90">'450'!$P$42:$P$43</definedName>
    <definedName name="OSRRefP22_6x_0" localSheetId="72">'491'!$P$49</definedName>
    <definedName name="OSRRefP22_6x_0" localSheetId="85">'492'!$P$49</definedName>
    <definedName name="OSRRefP22_6x_0" localSheetId="92">'501'!$P$43</definedName>
    <definedName name="OSRRefP22_6x_0" localSheetId="39">'Div 2'!$P$46</definedName>
    <definedName name="OSRRefP22_6x_0" localSheetId="47">'Div 3'!$P$127:$P$128</definedName>
    <definedName name="OSRRefP22_6x_0" localSheetId="70">'Div 4'!$P$52</definedName>
    <definedName name="OSRRefP22_6x_0" localSheetId="91">'Div 5'!$P$43</definedName>
    <definedName name="OSRRefP22_6x_0" localSheetId="62">'Div 6'!$P$71</definedName>
    <definedName name="OSRRefP22_6x_0" localSheetId="2">Summary!$P$153:$P$154</definedName>
    <definedName name="OSRRefP22_7x_0" localSheetId="41">'201'!$P$42</definedName>
    <definedName name="OSRRefP22_7x_0" localSheetId="42">'202'!$P$42</definedName>
    <definedName name="OSRRefP22_7x_0" localSheetId="43">'203'!$P$46</definedName>
    <definedName name="OSRRefP22_7x_0" localSheetId="48">'300'!$P$129</definedName>
    <definedName name="OSRRefP22_7x_0" localSheetId="49">'300 &amp; 317'!$P$149</definedName>
    <definedName name="OSRRefP22_7x_0" localSheetId="50">'301'!$P$50</definedName>
    <definedName name="OSRRefP22_7x_0" localSheetId="54">'308'!$P$76</definedName>
    <definedName name="OSRRefP22_7x_0" localSheetId="64">'310'!$P$47</definedName>
    <definedName name="OSRRefP22_7x_0" localSheetId="71">'310 &amp; 491'!$P$55</definedName>
    <definedName name="OSRRefP22_7x_0" localSheetId="55">'311'!$P$76</definedName>
    <definedName name="OSRRefP22_7x_0" localSheetId="58">'315'!$P$99:$P$100</definedName>
    <definedName name="OSRRefP22_7x_0" localSheetId="61">'316'!$P$51:$P$55</definedName>
    <definedName name="OSRRefP22_7x_0" localSheetId="63">'317'!$P$73</definedName>
    <definedName name="OSRRefP22_7x_0" localSheetId="67">'321'!$P$38</definedName>
    <definedName name="OSRRefP22_7x_0" localSheetId="69">'325'!$P$40</definedName>
    <definedName name="OSRRefP22_7x_0" localSheetId="59">'326'!$P$64</definedName>
    <definedName name="OSRRefP22_7x_0" localSheetId="52">'330'!$P$46</definedName>
    <definedName name="OSRRefP22_7x_0" localSheetId="57">'331'!$P$97:$P$98</definedName>
    <definedName name="OSRRefP22_7x_0" localSheetId="60">'332'!$P$53:$P$57</definedName>
    <definedName name="OSRRefP22_7x_0" localSheetId="73">'405'!$P$43</definedName>
    <definedName name="OSRRefP22_7x_0" localSheetId="75">'411'!$P$43:$P$44</definedName>
    <definedName name="OSRRefP22_7x_0" localSheetId="79">'415'!$P$49</definedName>
    <definedName name="OSRRefP22_7x_0" localSheetId="80">'418'!$P$45</definedName>
    <definedName name="OSRRefP22_7x_0" localSheetId="87">'433'!$P$49</definedName>
    <definedName name="OSRRefP22_7x_0" localSheetId="89">'444'!$P$50</definedName>
    <definedName name="OSRRefP22_7x_0" localSheetId="90">'450'!$P$45</definedName>
    <definedName name="OSRRefP22_7x_0" localSheetId="72">'491'!$P$51</definedName>
    <definedName name="OSRRefP22_7x_0" localSheetId="85">'492'!$P$51</definedName>
    <definedName name="OSRRefP22_7x_0" localSheetId="92">'501'!$P$45</definedName>
    <definedName name="OSRRefP22_7x_0" localSheetId="39">'Div 2'!$P$48</definedName>
    <definedName name="OSRRefP22_7x_0" localSheetId="47">'Div 3'!$P$130</definedName>
    <definedName name="OSRRefP22_7x_0" localSheetId="70">'Div 4'!$P$54</definedName>
    <definedName name="OSRRefP22_7x_0" localSheetId="91">'Div 5'!$P$45</definedName>
    <definedName name="OSRRefP22_7x_0" localSheetId="62">'Div 6'!$P$73</definedName>
    <definedName name="OSRRefP22_7x_0" localSheetId="2">Summary!$P$156</definedName>
    <definedName name="OSRRefP22_8x_0" localSheetId="41">'201'!$P$44</definedName>
    <definedName name="OSRRefP22_8x_0" localSheetId="42">'202'!$P$44:$P$45</definedName>
    <definedName name="OSRRefP22_8x_0" localSheetId="43">'203'!$P$48:$P$51</definedName>
    <definedName name="OSRRefP22_8x_0" localSheetId="48">'300'!$P$131</definedName>
    <definedName name="OSRRefP22_8x_0" localSheetId="49">'300 &amp; 317'!$P$151</definedName>
    <definedName name="OSRRefP22_8x_0" localSheetId="50">'301'!$P$52</definedName>
    <definedName name="OSRRefP22_8x_0" localSheetId="54">'308'!$P$78</definedName>
    <definedName name="OSRRefP22_8x_0" localSheetId="64">'310'!$P$49:$P$50</definedName>
    <definedName name="OSRRefP22_8x_0" localSheetId="71">'310 &amp; 491'!$P$57</definedName>
    <definedName name="OSRRefP22_8x_0" localSheetId="55">'311'!$P$78</definedName>
    <definedName name="OSRRefP22_8x_0" localSheetId="58">'315'!$P$102:$P$104</definedName>
    <definedName name="OSRRefP22_8x_0" localSheetId="61">'316'!$P$57</definedName>
    <definedName name="OSRRefP22_8x_0" localSheetId="63">'317'!$P$75:$P$77</definedName>
    <definedName name="OSRRefP22_8x_0" localSheetId="67">'321'!$P$40</definedName>
    <definedName name="OSRRefP22_8x_0" localSheetId="69">'325'!$P$42</definedName>
    <definedName name="OSRRefP22_8x_0" localSheetId="59">'326'!$P$66</definedName>
    <definedName name="OSRRefP22_8x_0" localSheetId="52">'330'!$P$48</definedName>
    <definedName name="OSRRefP22_8x_0" localSheetId="57">'331'!$P$100</definedName>
    <definedName name="OSRRefP22_8x_0" localSheetId="60">'332'!$P$59</definedName>
    <definedName name="OSRRefP22_8x_0" localSheetId="73">'405'!$P$45</definedName>
    <definedName name="OSRRefP22_8x_0" localSheetId="75">'411'!$P$46</definedName>
    <definedName name="OSRRefP22_8x_0" localSheetId="79">'415'!$P$51</definedName>
    <definedName name="OSRRefP22_8x_0" localSheetId="80">'418'!$P$47</definedName>
    <definedName name="OSRRefP22_8x_0" localSheetId="87">'433'!$P$51:$P$53</definedName>
    <definedName name="OSRRefP22_8x_0" localSheetId="89">'444'!$P$52:$P$53</definedName>
    <definedName name="OSRRefP22_8x_0" localSheetId="90">'450'!$P$47</definedName>
    <definedName name="OSRRefP22_8x_0" localSheetId="72">'491'!$P$53</definedName>
    <definedName name="OSRRefP22_8x_0" localSheetId="85">'492'!$P$53</definedName>
    <definedName name="OSRRefP22_8x_0" localSheetId="39">'Div 2'!$P$50</definedName>
    <definedName name="OSRRefP22_8x_0" localSheetId="47">'Div 3'!$P$132</definedName>
    <definedName name="OSRRefP22_8x_0" localSheetId="70">'Div 4'!$P$56</definedName>
    <definedName name="OSRRefP22_8x_0" localSheetId="62">'Div 6'!$P$75:$P$77</definedName>
    <definedName name="OSRRefP22_8x_0" localSheetId="2">Summary!$P$158</definedName>
    <definedName name="OSRRefP22_9x_0" localSheetId="41">'201'!$P$46:$P$47</definedName>
    <definedName name="OSRRefP22_9x_0" localSheetId="42">'202'!$P$47</definedName>
    <definedName name="OSRRefP22_9x_0" localSheetId="43">'203'!$P$53</definedName>
    <definedName name="OSRRefP22_9x_0" localSheetId="48">'300'!$P$133:$P$134</definedName>
    <definedName name="OSRRefP22_9x_0" localSheetId="49">'300 &amp; 317'!$P$153:$P$154</definedName>
    <definedName name="OSRRefP22_9x_0" localSheetId="50">'301'!$P$54</definedName>
    <definedName name="OSRRefP22_9x_0" localSheetId="54">'308'!$P$80:$P$81</definedName>
    <definedName name="OSRRefP22_9x_0" localSheetId="64">'310'!$P$52:$P$53</definedName>
    <definedName name="OSRRefP22_9x_0" localSheetId="71">'310 &amp; 491'!$P$59</definedName>
    <definedName name="OSRRefP22_9x_0" localSheetId="55">'311'!$P$80:$P$81</definedName>
    <definedName name="OSRRefP22_9x_0" localSheetId="58">'315'!$P$106</definedName>
    <definedName name="OSRRefP22_9x_0" localSheetId="63">'317'!$P$79</definedName>
    <definedName name="OSRRefP22_9x_0" localSheetId="69">'325'!$P$44</definedName>
    <definedName name="OSRRefP22_9x_0" localSheetId="59">'326'!$P$68:$P$69</definedName>
    <definedName name="OSRRefP22_9x_0" localSheetId="57">'331'!$P$102:$P$103</definedName>
    <definedName name="OSRRefP22_9x_0" localSheetId="73">'405'!$P$47</definedName>
    <definedName name="OSRRefP22_9x_0" localSheetId="75">'411'!$P$48</definedName>
    <definedName name="OSRRefP22_9x_0" localSheetId="79">'415'!$P$53</definedName>
    <definedName name="OSRRefP22_9x_0" localSheetId="80">'418'!$P$49</definedName>
    <definedName name="OSRRefP22_9x_0" localSheetId="87">'433'!$P$55:$P$59</definedName>
    <definedName name="OSRRefP22_9x_0" localSheetId="89">'444'!$P$55:$P$57</definedName>
    <definedName name="OSRRefP22_9x_0" localSheetId="72">'491'!$P$55</definedName>
    <definedName name="OSRRefP22_9x_0" localSheetId="85">'492'!$P$55</definedName>
    <definedName name="OSRRefP22_9x_0" localSheetId="39">'Div 2'!$P$52</definedName>
    <definedName name="OSRRefP22_9x_0" localSheetId="47">'Div 3'!$P$134:$P$135</definedName>
    <definedName name="OSRRefP22_9x_0" localSheetId="70">'Div 4'!$P$58</definedName>
    <definedName name="OSRRefP22_9x_0" localSheetId="62">'Div 6'!$P$79</definedName>
    <definedName name="OSRRefP22_9x_0" localSheetId="2">Summary!$P$160:$P$161</definedName>
    <definedName name="OSRRefP22x_0" localSheetId="40">'200'!$P$20,'200'!$P$22,'200'!$P$24</definedName>
    <definedName name="OSRRefP22x_0" localSheetId="41">'201'!$P$20:$P$27,'201'!$P$29:$P$30,'201'!$P$32,'201'!$P$34,'201'!$P$36,'201'!$P$38,'201'!$P$40,'201'!$P$42,'201'!$P$44,'201'!$P$46:$P$47,'201'!$P$49</definedName>
    <definedName name="OSRRefP22x_0" localSheetId="42">'202'!$P$20:$P$27,'202'!$P$29,'202'!$P$31,'202'!$P$33,'202'!$P$35,'202'!$P$37,'202'!$P$39:$P$40,'202'!$P$42,'202'!$P$44:$P$45,'202'!$P$47,'202'!$P$49</definedName>
    <definedName name="OSRRefP22x_0" localSheetId="43">'203'!$P$20:$P$28,'203'!$P$30:$P$33,'203'!$P$35,'203'!$P$37,'203'!$P$39,'203'!$P$41:$P$42,'203'!$P$44,'203'!$P$46,'203'!$P$48:$P$51,'203'!$P$53</definedName>
    <definedName name="OSRRefP22x_0" localSheetId="44">'204'!$P$20:$P$28,'204'!$P$30:$P$32,'204'!$P$34,'204'!$P$36,'204'!$P$38:$P$39,'204'!$P$41,'204'!$P$43:$P$44</definedName>
    <definedName name="OSRRefP22x_0" localSheetId="45">'205'!$P$20:$P$27,'205'!$P$29,'205'!$P$31,'205'!$P$33:$P$34,'205'!$P$36</definedName>
    <definedName name="OSRRefP22x_0" localSheetId="46">'206'!$P$20:$P$26,'206'!$P$28:$P$30,'206'!$P$32,'206'!$P$34,'206'!$P$36</definedName>
    <definedName name="OSRRefP22x_0" localSheetId="48">'300'!$P$98:$P$107,'300'!$P$109:$P$115,'300'!$P$117,'300'!$P$119,'300'!$P$121,'300'!$P$123:$P$124,'300'!$P$126:$P$127,'300'!$P$129,'300'!$P$131,'300'!$P$133:$P$134,'300'!$P$136,'300'!$P$138,'300'!$P$140:$P$141,'300'!$P$143,'300'!$P$145:$P$147,'300'!$P$149:$P$151,'300'!$P$153:$P$156,'300'!$P$158:$P$159,'300'!$P$161:$P$166,'300'!$P$168:$P$169,'300'!$P$171,'300'!$P$173:$P$175,'300'!$P$177</definedName>
    <definedName name="OSRRefP22x_0" localSheetId="49">'300 &amp; 317'!$P$118:$P$127,'300 &amp; 317'!$P$129:$P$135,'300 &amp; 317'!$P$137,'300 &amp; 317'!$P$139,'300 &amp; 317'!$P$141,'300 &amp; 317'!$P$143:$P$144,'300 &amp; 317'!$P$146:$P$147,'300 &amp; 317'!$P$149,'300 &amp; 317'!$P$151,'300 &amp; 317'!$P$153:$P$154,'300 &amp; 317'!$P$156,'300 &amp; 317'!$P$158,'300 &amp; 317'!$P$160:$P$161,'300 &amp; 317'!$P$163,'300 &amp; 317'!$P$165:$P$167,'300 &amp; 317'!$P$169:$P$171,'300 &amp; 317'!$P$173:$P$176,'300 &amp; 317'!$P$178:$P$179,'300 &amp; 317'!$P$181:$P$186,'300 &amp; 317'!$P$188:$P$189,'300 &amp; 317'!$P$191,'300 &amp; 317'!$P$193:$P$195,'300 &amp; 317'!$P$197</definedName>
    <definedName name="OSRRefP22x_0" localSheetId="50">'301'!$P$20:$P$29,'301'!$P$31:$P$37,'301'!$P$39,'301'!$P$41,'301'!$P$43:$P$44,'301'!$P$46,'301'!$P$48,'301'!$P$50,'301'!$P$52,'301'!$P$54,'301'!$P$56,'301'!$P$58,'301'!$P$60:$P$62,'301'!$P$64:$P$66,'301'!$P$68:$P$71,'301'!$P$73,'301'!$P$75,'301'!$P$77:$P$78,'301'!$P$80</definedName>
    <definedName name="OSRRefP22x_0" localSheetId="51">'306'!$P$20:$P$23,'306'!$P$25:$P$26,'306'!$P$28,'306'!$P$30</definedName>
    <definedName name="OSRRefP22x_0" localSheetId="53">'307'!$P$21,'307'!$P$23,'307'!$P$25,'307'!$P$27:$P$28,'307'!$P$30,'307'!$P$32</definedName>
    <definedName name="OSRRefP22x_0" localSheetId="54">'308'!$P$49:$P$57,'308'!$P$59:$P$64,'308'!$P$66,'308'!$P$68,'308'!$P$70,'308'!$P$72,'308'!$P$74,'308'!$P$76,'308'!$P$78,'308'!$P$80:$P$81,'308'!$P$83,'308'!$P$85:$P$86,'308'!$P$88:$P$89,'308'!$P$91</definedName>
    <definedName name="OSRRefP22x_0" localSheetId="65">'309'!$P$20,'309'!$P$22,'309'!$P$24:$P$25,'309'!$P$27</definedName>
    <definedName name="OSRRefP22x_0" localSheetId="64">'310'!$P$25:$P$32,'310'!$P$34,'310'!$P$36,'310'!$P$38:$P$39,'310'!$P$41,'310'!$P$43,'310'!$P$45,'310'!$P$47,'310'!$P$49:$P$50,'310'!$P$52:$P$53,'310'!$P$55,'310'!$P$57</definedName>
    <definedName name="OSRRefP22x_0" localSheetId="71">'310 &amp; 491'!$P$29:$P$36,'310 &amp; 491'!$P$38:$P$42,'310 &amp; 491'!$P$44,'310 &amp; 491'!$P$46,'310 &amp; 491'!$P$48,'310 &amp; 491'!$P$50:$P$51,'310 &amp; 491'!$P$53,'310 &amp; 491'!$P$55,'310 &amp; 491'!$P$57,'310 &amp; 491'!$P$59,'310 &amp; 491'!$P$61,'310 &amp; 491'!$P$63:$P$64,'310 &amp; 491'!$P$66:$P$69,'310 &amp; 491'!$P$71,'310 &amp; 491'!$P$73:$P$77,'310 &amp; 491'!$P$79,'310 &amp; 491'!$P$81,'310 &amp; 491'!$P$83</definedName>
    <definedName name="OSRRefP22x_0" localSheetId="55">'311'!$P$49:$P$57,'311'!$P$59:$P$64,'311'!$P$66,'311'!$P$68,'311'!$P$70,'311'!$P$72,'311'!$P$74,'311'!$P$76,'311'!$P$78,'311'!$P$80:$P$81,'311'!$P$83,'311'!$P$85:$P$86,'311'!$P$88:$P$89,'311'!$P$91</definedName>
    <definedName name="OSRRefP22x_0" localSheetId="66">'313'!$P$24:$P$31,'313'!$P$33,'313'!$P$35,'313'!$P$37</definedName>
    <definedName name="OSRRefP22x_0" localSheetId="58">'315'!$P$72:$P$79,'315'!$P$81:$P$85,'315'!$P$87,'315'!$P$89,'315'!$P$91,'315'!$P$93:$P$94,'315'!$P$96:$P$97,'315'!$P$99:$P$100,'315'!$P$102:$P$104,'315'!$P$106,'315'!$P$108</definedName>
    <definedName name="OSRRefP22x_0" localSheetId="61">'316'!$P$27:$P$34,'316'!$P$36:$P$37,'316'!$P$39,'316'!$P$41,'316'!$P$43:$P$44,'316'!$P$46:$P$47,'316'!$P$49,'316'!$P$51:$P$55,'316'!$P$57</definedName>
    <definedName name="OSRRefP22x_0" localSheetId="63">'317'!$P$48:$P$56,'317'!$P$58:$P$60,'317'!$P$62,'317'!$P$64,'317'!$P$66,'317'!$P$68:$P$69,'317'!$P$71,'317'!$P$73,'317'!$P$75:$P$77,'317'!$P$79</definedName>
    <definedName name="OSRRefP22x_0" localSheetId="67">'321'!$P$20:$P$23,'321'!$P$25,'321'!$P$27,'321'!$P$29,'321'!$P$31,'321'!$P$33,'321'!$P$35:$P$36,'321'!$P$38,'321'!$P$40</definedName>
    <definedName name="OSRRefP22x_0" localSheetId="68">'322'!$P$21:$P$25,'322'!$P$27,'322'!$P$29,'322'!$P$31,'322'!$P$33</definedName>
    <definedName name="OSRRefP22x_0" localSheetId="69">'325'!$P$21:$P$25,'325'!$P$27,'325'!$P$29,'325'!$P$31:$P$32,'325'!$P$34,'325'!$P$36,'325'!$P$38,'325'!$P$40,'325'!$P$42,'325'!$P$44</definedName>
    <definedName name="OSRRefP22x_0" localSheetId="59">'326'!$P$39:$P$46,'326'!$P$48:$P$52,'326'!$P$54,'326'!$P$56,'326'!$P$58,'326'!$P$60,'326'!$P$62,'326'!$P$64,'326'!$P$66,'326'!$P$68:$P$69,'326'!$P$71,'326'!$P$73:$P$75,'326'!$P$77,'326'!$P$79,'326'!$P$81</definedName>
    <definedName name="OSRRefP22x_0" localSheetId="52">'330'!$P$31,'330'!$P$33,'330'!$P$35,'330'!$P$37,'330'!$P$39,'330'!$P$41,'330'!$P$43:$P$44,'330'!$P$46,'330'!$P$48</definedName>
    <definedName name="OSRRefP22x_0" localSheetId="57">'331'!$P$72:$P$79,'331'!$P$81:$P$85,'331'!$P$87,'331'!$P$89,'331'!$P$91,'331'!$P$93,'331'!$P$95,'331'!$P$97:$P$98,'331'!$P$100,'331'!$P$102:$P$103,'331'!$P$105,'331'!$P$107:$P$108,'331'!$P$110:$P$111,'331'!$P$113,'331'!$P$115:$P$118,'331'!$P$120,'331'!$P$122,'331'!$P$124</definedName>
    <definedName name="OSRRefP22x_0" localSheetId="60">'332'!$P$29:$P$36,'332'!$P$38:$P$39,'332'!$P$41,'332'!$P$43,'332'!$P$45:$P$46,'332'!$P$48:$P$49,'332'!$P$51,'332'!$P$53:$P$57,'332'!$P$59</definedName>
    <definedName name="OSRRefP22x_0" localSheetId="73">'405'!$P$20:$P$27,'405'!$P$29:$P$30,'405'!$P$32,'405'!$P$34:$P$35,'405'!$P$37,'405'!$P$39,'405'!$P$41,'405'!$P$43,'405'!$P$45,'405'!$P$47</definedName>
    <definedName name="OSRRefP22x_0" localSheetId="74">'406'!$P$20,'406'!$P$22,'406'!$P$24,'406'!$P$26</definedName>
    <definedName name="OSRRefP22x_0" localSheetId="75">'411'!$P$20:$P$27,'411'!$P$29:$P$30,'411'!$P$32,'411'!$P$34:$P$35,'411'!$P$37,'411'!$P$39,'411'!$P$41,'411'!$P$43:$P$44,'411'!$P$46,'411'!$P$48,'411'!$P$50,'411'!$P$52,'411'!$P$54</definedName>
    <definedName name="OSRRefP22x_0" localSheetId="76">'412'!$P$20,'412'!$P$22,'412'!$P$24,'412'!$P$26</definedName>
    <definedName name="OSRRefP22x_0" localSheetId="77">'413'!$P$20:$P$24,'413'!$P$26,'413'!$P$28,'413'!$P$30,'413'!$P$32</definedName>
    <definedName name="OSRRefP22x_0" localSheetId="78">'414'!$P$21,'414'!$P$23</definedName>
    <definedName name="OSRRefP22x_0" localSheetId="79">'415'!$P$24:$P$31,'415'!$P$33:$P$36,'415'!$P$38,'415'!$P$40,'415'!$P$42,'415'!$P$44:$P$45,'415'!$P$47,'415'!$P$49,'415'!$P$51,'415'!$P$53,'415'!$P$55:$P$56,'415'!$P$58:$P$60,'415'!$P$62,'415'!$P$64:$P$68,'415'!$P$70,'415'!$P$72</definedName>
    <definedName name="OSRRefP22x_0" localSheetId="80">'418'!$P$20:$P$27,'418'!$P$29:$P$32,'418'!$P$34,'418'!$P$36,'418'!$P$38:$P$39,'418'!$P$41,'418'!$P$43,'418'!$P$45,'418'!$P$47,'418'!$P$49</definedName>
    <definedName name="OSRRefP22x_0" localSheetId="81">'423'!$P$20:$P$21,'423'!$P$23,'423'!$P$25</definedName>
    <definedName name="OSRRefP22x_0" localSheetId="82">'424'!$P$20,'424'!$P$22,'424'!$P$24</definedName>
    <definedName name="OSRRefP22x_0" localSheetId="83">'425'!$P$21:$P$25,'425'!$P$27,'425'!$P$29,'425'!$P$31</definedName>
    <definedName name="OSRRefP22x_0" localSheetId="86">'430'!$P$20:$P$27,'430'!$P$29,'430'!$P$31,'430'!$P$33,'430'!$P$35,'430'!$P$37</definedName>
    <definedName name="OSRRefP22x_0" localSheetId="87">'433'!$P$25:$P$33,'433'!$P$35:$P$37,'433'!$P$39,'433'!$P$41,'433'!$P$43,'433'!$P$45,'433'!$P$47,'433'!$P$49,'433'!$P$51:$P$53,'433'!$P$55:$P$59,'433'!$P$61</definedName>
    <definedName name="OSRRefP22x_0" localSheetId="88">'435'!$P$20</definedName>
    <definedName name="OSRRefP22x_0" localSheetId="89">'444'!$P$25:$P$33,'444'!$P$35:$P$38,'444'!$P$40,'444'!$P$42,'444'!$P$44,'444'!$P$46,'444'!$P$48,'444'!$P$50,'444'!$P$52:$P$53,'444'!$P$55:$P$57,'444'!$P$59:$P$61,'444'!$P$63</definedName>
    <definedName name="OSRRefP22x_0" localSheetId="90">'450'!$P$20:$P$28,'450'!$P$30:$P$32,'450'!$P$34,'450'!$P$36,'450'!$P$38,'450'!$P$40,'450'!$P$42:$P$43,'450'!$P$45,'450'!$P$47</definedName>
    <definedName name="OSRRefP22x_0" localSheetId="72">'491'!$P$25:$P$32,'491'!$P$34:$P$38,'491'!$P$40,'491'!$P$42,'491'!$P$44,'491'!$P$46:$P$47,'491'!$P$49,'491'!$P$51,'491'!$P$53,'491'!$P$55,'491'!$P$57,'491'!$P$59:$P$60,'491'!$P$62:$P$65,'491'!$P$67,'491'!$P$69:$P$73,'491'!$P$75,'491'!$P$77,'491'!$P$79</definedName>
    <definedName name="OSRRefP22x_0" localSheetId="85">'492'!$P$25:$P$33,'492'!$P$35:$P$39,'492'!$P$41,'492'!$P$43,'492'!$P$45,'492'!$P$47,'492'!$P$49,'492'!$P$51,'492'!$P$53,'492'!$P$55,'492'!$P$57:$P$59,'492'!$P$61:$P$63,'492'!$P$65:$P$69,'492'!$P$71</definedName>
    <definedName name="OSRRefP22x_0" localSheetId="92">'501'!$P$21:$P$28,'501'!$P$30:$P$33,'501'!$P$35,'501'!$P$37,'501'!$P$39,'501'!$P$41,'501'!$P$43,'501'!$P$45</definedName>
    <definedName name="OSRRefP22x_0" localSheetId="39">'Div 2'!$P$20:$P$29,'Div 2'!$P$31:$P$36,'Div 2'!$P$38,'Div 2'!$P$40,'Div 2'!$P$42,'Div 2'!$P$44,'Div 2'!$P$46,'Div 2'!$P$48,'Div 2'!$P$50,'Div 2'!$P$52,'Div 2'!$P$54:$P$55,'Div 2'!$P$57:$P$59,'Div 2'!$P$61,'Div 2'!$P$63,'Div 2'!$P$65:$P$68,'Div 2'!$P$70:$P$71,'Div 2'!$P$73</definedName>
    <definedName name="OSRRefP22x_0" localSheetId="47">'Div 3'!$P$99:$P$108,'Div 3'!$P$110:$P$116,'Div 3'!$P$118,'Div 3'!$P$120,'Div 3'!$P$122,'Div 3'!$P$124:$P$125,'Div 3'!$P$127:$P$128,'Div 3'!$P$130,'Div 3'!$P$132,'Div 3'!$P$134:$P$135,'Div 3'!$P$137,'Div 3'!$P$139,'Div 3'!$P$141,'Div 3'!$P$143:$P$144,'Div 3'!$P$146,'Div 3'!$P$148:$P$150,'Div 3'!$P$152:$P$154,'Div 3'!$P$156:$P$159,'Div 3'!$P$161:$P$162,'Div 3'!$P$164:$P$169,'Div 3'!$P$171:$P$172,'Div 3'!$P$174,'Div 3'!$P$176:$P$178,'Div 3'!$P$180</definedName>
    <definedName name="OSRRefP22x_0" localSheetId="70">'Div 4'!$P$27:$P$35,'Div 4'!$P$37:$P$41,'Div 4'!$P$43,'Div 4'!$P$45,'Div 4'!$P$47,'Div 4'!$P$49:$P$50,'Div 4'!$P$52,'Div 4'!$P$54,'Div 4'!$P$56,'Div 4'!$P$58,'Div 4'!$P$60,'Div 4'!$P$62,'Div 4'!$P$64:$P$66,'Div 4'!$P$68:$P$71,'Div 4'!$P$73,'Div 4'!$P$75:$P$79,'Div 4'!$P$81,'Div 4'!$P$83,'Div 4'!$P$85</definedName>
    <definedName name="OSRRefP22x_0" localSheetId="91">'Div 5'!$P$21:$P$28,'Div 5'!$P$30:$P$33,'Div 5'!$P$35,'Div 5'!$P$37,'Div 5'!$P$39,'Div 5'!$P$41,'Div 5'!$P$43,'Div 5'!$P$45</definedName>
    <definedName name="OSRRefP22x_0" localSheetId="62">'Div 6'!$P$48:$P$56,'Div 6'!$P$58:$P$60,'Div 6'!$P$62,'Div 6'!$P$64,'Div 6'!$P$66,'Div 6'!$P$68:$P$69,'Div 6'!$P$71,'Div 6'!$P$73,'Div 6'!$P$75:$P$77,'Div 6'!$P$79</definedName>
    <definedName name="OSRRefP22x_0" localSheetId="2">Summary!$P$125:$P$134,Summary!$P$136:$P$142,Summary!$P$144,Summary!$P$146,Summary!$P$148,Summary!$P$150:$P$151,Summary!$P$153:$P$154,Summary!$P$156,Summary!$P$158,Summary!$P$160:$P$161,Summary!$P$163,Summary!$P$165,Summary!$P$167,Summary!$P$169:$P$170,Summary!$P$172,Summary!$P$174,Summary!$P$176:$P$178,Summary!$P$180:$P$182,Summary!$P$184:$P$188,Summary!$P$190:$P$191,Summary!$P$193:$P$199,Summary!$P$201:$P$202,Summary!$P$204,Summary!$P$206:$P$208,Summary!$P$210</definedName>
    <definedName name="OSRRefP25x_0" localSheetId="48">'300'!$P$180:$P$182</definedName>
    <definedName name="OSRRefP25x_0" localSheetId="49">'300 &amp; 317'!$P$200:$P$204</definedName>
    <definedName name="OSRRefP25x_0" localSheetId="50">'301'!$P$83</definedName>
    <definedName name="OSRRefP25x_0" localSheetId="54">'308'!$P$94:$P$95</definedName>
    <definedName name="OSRRefP25x_0" localSheetId="71">'310 &amp; 491'!$P$86:$P$88</definedName>
    <definedName name="OSRRefP25x_0" localSheetId="55">'311'!$P$94:$P$95</definedName>
    <definedName name="OSRRefP25x_0" localSheetId="58">'315'!$P$111:$P$112</definedName>
    <definedName name="OSRRefP25x_0" localSheetId="61">'316'!$P$60</definedName>
    <definedName name="OSRRefP25x_0" localSheetId="63">'317'!$P$82:$P$84</definedName>
    <definedName name="OSRRefP25x_0" localSheetId="57">'331'!$P$127:$P$128</definedName>
    <definedName name="OSRRefP25x_0" localSheetId="60">'332'!$P$62:$P$63</definedName>
    <definedName name="OSRRefP25x_0" localSheetId="75">'411'!$P$57</definedName>
    <definedName name="OSRRefP25x_0" localSheetId="79">'415'!$P$75</definedName>
    <definedName name="OSRRefP25x_0" localSheetId="84">'455'!$P$21:$P$22</definedName>
    <definedName name="OSRRefP25x_0" localSheetId="72">'491'!$P$82:$P$84</definedName>
    <definedName name="OSRRefP25x_0" localSheetId="92">'501'!$P$48</definedName>
    <definedName name="OSRRefP25x_0" localSheetId="47">'Div 3'!$P$183:$P$185</definedName>
    <definedName name="OSRRefP25x_0" localSheetId="70">'Div 4'!$P$88:$P$90</definedName>
    <definedName name="OSRRefP25x_0" localSheetId="91">'Div 5'!$P$48</definedName>
    <definedName name="OSRRefP25x_0" localSheetId="62">'Div 6'!$P$82:$P$84</definedName>
    <definedName name="OSRRefP25x_0" localSheetId="2">Summary!$P$213:$P$219</definedName>
    <definedName name="OSRRefT13x_0" localSheetId="48">'300'!$T$13:$T$62</definedName>
    <definedName name="OSRRefT13x_0" localSheetId="49">'300 &amp; 317'!$T$13:$T$76</definedName>
    <definedName name="OSRRefT13x_0" localSheetId="54">'308'!$T$13:$T$28</definedName>
    <definedName name="OSRRefT13x_0" localSheetId="64">'310'!$T$13:$T$16</definedName>
    <definedName name="OSRRefT13x_0" localSheetId="71">'310 &amp; 491'!$T$13:$T$19</definedName>
    <definedName name="OSRRefT13x_0" localSheetId="55">'311'!$T$13:$T$28</definedName>
    <definedName name="OSRRefT13x_0" localSheetId="66">'313'!$T$13:$T$16</definedName>
    <definedName name="OSRRefT13x_0" localSheetId="58">'315'!$T$13:$T$48</definedName>
    <definedName name="OSRRefT13x_0" localSheetId="61">'316'!$T$13:$T$19</definedName>
    <definedName name="OSRRefT13x_0" localSheetId="63">'317'!$T$13:$T$30</definedName>
    <definedName name="OSRRefT13x_0" localSheetId="56">'324'!$T$13:$T$16</definedName>
    <definedName name="OSRRefT13x_0" localSheetId="59">'326'!$T$13:$T$30</definedName>
    <definedName name="OSRRefT13x_0" localSheetId="52">'330'!$T$13:$T$21</definedName>
    <definedName name="OSRRefT13x_0" localSheetId="57">'331'!$T$13:$T$48</definedName>
    <definedName name="OSRRefT13x_0" localSheetId="60">'332'!$T$13:$T$19</definedName>
    <definedName name="OSRRefT13x_0" localSheetId="78">'414'!$T$13</definedName>
    <definedName name="OSRRefT13x_0" localSheetId="79">'415'!$T$13:$T$14</definedName>
    <definedName name="OSRRefT13x_0" localSheetId="87">'433'!$T$13:$T$15</definedName>
    <definedName name="OSRRefT13x_0" localSheetId="89">'444'!$T$13:$T$15</definedName>
    <definedName name="OSRRefT13x_0" localSheetId="72">'491'!$T$13:$T$15</definedName>
    <definedName name="OSRRefT13x_0" localSheetId="85">'492'!$T$13:$T$15</definedName>
    <definedName name="OSRRefT13x_0" localSheetId="92">'501'!$T$13</definedName>
    <definedName name="OSRRefT13x_0" localSheetId="47">'Div 3'!$T$13:$T$62</definedName>
    <definedName name="OSRRefT13x_0" localSheetId="70">'Div 4'!$T$13:$T$17</definedName>
    <definedName name="OSRRefT13x_0" localSheetId="91">'Div 5'!$T$13</definedName>
    <definedName name="OSRRefT13x_0" localSheetId="62">'Div 6'!$T$13:$T$30</definedName>
    <definedName name="OSRRefT13x_0" localSheetId="2">Summary!$T$13:$T$81</definedName>
    <definedName name="OSRRefT16x_0" localSheetId="48">'300'!$T$65:$T$92</definedName>
    <definedName name="OSRRefT16x_0" localSheetId="49">'300 &amp; 317'!$T$79:$T$112</definedName>
    <definedName name="OSRRefT16x_0" localSheetId="53">'307'!$T$15</definedName>
    <definedName name="OSRRefT16x_0" localSheetId="54">'308'!$T$31:$T$43</definedName>
    <definedName name="OSRRefT16x_0" localSheetId="64">'310'!$T$19</definedName>
    <definedName name="OSRRefT16x_0" localSheetId="71">'310 &amp; 491'!$T$22:$T$23</definedName>
    <definedName name="OSRRefT16x_0" localSheetId="55">'311'!$T$31:$T$43</definedName>
    <definedName name="OSRRefT16x_0" localSheetId="58">'315'!$T$51:$T$66</definedName>
    <definedName name="OSRRefT16x_0" localSheetId="63">'317'!$T$33:$T$42</definedName>
    <definedName name="OSRRefT16x_0" localSheetId="68">'322'!$T$15</definedName>
    <definedName name="OSRRefT16x_0" localSheetId="56">'324'!$T$19:$T$21</definedName>
    <definedName name="OSRRefT16x_0" localSheetId="69">'325'!$T$15</definedName>
    <definedName name="OSRRefT16x_0" localSheetId="59">'326'!$T$33</definedName>
    <definedName name="OSRRefT16x_0" localSheetId="52">'330'!$T$24:$T$25</definedName>
    <definedName name="OSRRefT16x_0" localSheetId="57">'331'!$T$51:$T$66</definedName>
    <definedName name="OSRRefT16x_0" localSheetId="60">'332'!$T$22:$T$23</definedName>
    <definedName name="OSRRefT16x_0" localSheetId="79">'415'!$T$17:$T$18</definedName>
    <definedName name="OSRRefT16x_0" localSheetId="83">'425'!$T$15</definedName>
    <definedName name="OSRRefT16x_0" localSheetId="87">'433'!$T$18:$T$19</definedName>
    <definedName name="OSRRefT16x_0" localSheetId="89">'444'!$T$18:$T$19</definedName>
    <definedName name="OSRRefT16x_0" localSheetId="72">'491'!$T$18:$T$19</definedName>
    <definedName name="OSRRefT16x_0" localSheetId="85">'492'!$T$18:$T$19</definedName>
    <definedName name="OSRRefT16x_0" localSheetId="47">'Div 3'!$T$65:$T$93</definedName>
    <definedName name="OSRRefT16x_0" localSheetId="70">'Div 4'!$T$20:$T$21</definedName>
    <definedName name="OSRRefT16x_0" localSheetId="62">'Div 6'!$T$33:$T$42</definedName>
    <definedName name="OSRRefT16x_0" localSheetId="2">Summary!$T$84:$T$119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'300'!$T$98:$T$107</definedName>
    <definedName name="OSRRefT22_0x_0" localSheetId="49">'300 &amp; 317'!$T$118:$T$127</definedName>
    <definedName name="OSRRefT22_0x_0" localSheetId="50">'301'!$T$20:$T$29</definedName>
    <definedName name="OSRRefT22_0x_0" localSheetId="51">'306'!$T$20:$T$23</definedName>
    <definedName name="OSRRefT22_0x_0" localSheetId="53">'307'!$T$21</definedName>
    <definedName name="OSRRefT22_0x_0" localSheetId="54">'308'!$T$49:$T$57</definedName>
    <definedName name="OSRRefT22_0x_0" localSheetId="65">'309'!$T$20</definedName>
    <definedName name="OSRRefT22_0x_0" localSheetId="64">'310'!$T$25:$T$32</definedName>
    <definedName name="OSRRefT22_0x_0" localSheetId="71">'310 &amp; 491'!$T$29:$T$36</definedName>
    <definedName name="OSRRefT22_0x_0" localSheetId="55">'311'!$T$49:$T$57</definedName>
    <definedName name="OSRRefT22_0x_0" localSheetId="66">'313'!$T$24:$T$31</definedName>
    <definedName name="OSRRefT22_0x_0" localSheetId="58">'315'!$T$72:$T$79</definedName>
    <definedName name="OSRRefT22_0x_0" localSheetId="61">'316'!$T$27:$T$34</definedName>
    <definedName name="OSRRefT22_0x_0" localSheetId="63">'317'!$T$48:$T$56</definedName>
    <definedName name="OSRRefT22_0x_0" localSheetId="67">'321'!$T$20:$T$23</definedName>
    <definedName name="OSRRefT22_0x_0" localSheetId="68">'322'!$T$21:$T$25</definedName>
    <definedName name="OSRRefT22_0x_0" localSheetId="69">'325'!$T$21:$T$25</definedName>
    <definedName name="OSRRefT22_0x_0" localSheetId="59">'326'!$T$39:$T$46</definedName>
    <definedName name="OSRRefT22_0x_0" localSheetId="52">'330'!$T$31</definedName>
    <definedName name="OSRRefT22_0x_0" localSheetId="57">'331'!$T$72:$T$79</definedName>
    <definedName name="OSRRefT22_0x_0" localSheetId="60">'332'!$T$29:$T$36</definedName>
    <definedName name="OSRRefT22_0x_0" localSheetId="73">'405'!$T$20:$T$27</definedName>
    <definedName name="OSRRefT22_0x_0" localSheetId="74">'406'!$T$20</definedName>
    <definedName name="OSRRefT22_0x_0" localSheetId="75">'411'!$T$20:$T$27</definedName>
    <definedName name="OSRRefT22_0x_0" localSheetId="76">'412'!$T$20</definedName>
    <definedName name="OSRRefT22_0x_0" localSheetId="77">'413'!$T$20:$T$24</definedName>
    <definedName name="OSRRefT22_0x_0" localSheetId="78">'414'!$T$21</definedName>
    <definedName name="OSRRefT22_0x_0" localSheetId="79">'415'!$T$24:$T$31</definedName>
    <definedName name="OSRRefT22_0x_0" localSheetId="80">'418'!$T$20:$T$27</definedName>
    <definedName name="OSRRefT22_0x_0" localSheetId="81">'423'!$T$20:$T$21</definedName>
    <definedName name="OSRRefT22_0x_0" localSheetId="82">'424'!$T$20</definedName>
    <definedName name="OSRRefT22_0x_0" localSheetId="83">'425'!$T$21:$T$25</definedName>
    <definedName name="OSRRefT22_0x_0" localSheetId="86">'430'!$T$20:$T$27</definedName>
    <definedName name="OSRRefT22_0x_0" localSheetId="87">'433'!$T$25:$T$33</definedName>
    <definedName name="OSRRefT22_0x_0" localSheetId="88">'435'!$T$20</definedName>
    <definedName name="OSRRefT22_0x_0" localSheetId="89">'444'!$T$25:$T$33</definedName>
    <definedName name="OSRRefT22_0x_0" localSheetId="90">'450'!$T$20:$T$28</definedName>
    <definedName name="OSRRefT22_0x_0" localSheetId="72">'491'!$T$25:$T$32</definedName>
    <definedName name="OSRRefT22_0x_0" localSheetId="85">'492'!$T$25:$T$33</definedName>
    <definedName name="OSRRefT22_0x_0" localSheetId="92">'501'!$T$21:$T$28</definedName>
    <definedName name="OSRRefT22_0x_0" localSheetId="39">'Div 2'!$T$20:$T$29</definedName>
    <definedName name="OSRRefT22_0x_0" localSheetId="47">'Div 3'!$T$99:$T$108</definedName>
    <definedName name="OSRRefT22_0x_0" localSheetId="70">'Div 4'!$T$27:$T$35</definedName>
    <definedName name="OSRRefT22_0x_0" localSheetId="91">'Div 5'!$T$21:$T$28</definedName>
    <definedName name="OSRRefT22_0x_0" localSheetId="62">'Div 6'!$T$48:$T$56</definedName>
    <definedName name="OSRRefT22_0x_0" localSheetId="2">Summary!$T$125:$T$134</definedName>
    <definedName name="OSRRefT22_10x_0" localSheetId="41">'201'!$T$49</definedName>
    <definedName name="OSRRefT22_10x_0" localSheetId="42">'202'!$T$49</definedName>
    <definedName name="OSRRefT22_10x_0" localSheetId="48">'300'!$T$136</definedName>
    <definedName name="OSRRefT22_10x_0" localSheetId="49">'300 &amp; 317'!$T$156</definedName>
    <definedName name="OSRRefT22_10x_0" localSheetId="50">'301'!$T$56</definedName>
    <definedName name="OSRRefT22_10x_0" localSheetId="54">'308'!$T$83</definedName>
    <definedName name="OSRRefT22_10x_0" localSheetId="64">'310'!$T$55</definedName>
    <definedName name="OSRRefT22_10x_0" localSheetId="71">'310 &amp; 491'!$T$61</definedName>
    <definedName name="OSRRefT22_10x_0" localSheetId="55">'311'!$T$83</definedName>
    <definedName name="OSRRefT22_10x_0" localSheetId="58">'315'!$T$108</definedName>
    <definedName name="OSRRefT22_10x_0" localSheetId="59">'326'!$T$71</definedName>
    <definedName name="OSRRefT22_10x_0" localSheetId="57">'331'!$T$105</definedName>
    <definedName name="OSRRefT22_10x_0" localSheetId="75">'411'!$T$50</definedName>
    <definedName name="OSRRefT22_10x_0" localSheetId="79">'415'!$T$55:$T$56</definedName>
    <definedName name="OSRRefT22_10x_0" localSheetId="87">'433'!$T$61</definedName>
    <definedName name="OSRRefT22_10x_0" localSheetId="89">'444'!$T$59:$T$61</definedName>
    <definedName name="OSRRefT22_10x_0" localSheetId="72">'491'!$T$57</definedName>
    <definedName name="OSRRefT22_10x_0" localSheetId="85">'492'!$T$57:$T$59</definedName>
    <definedName name="OSRRefT22_10x_0" localSheetId="39">'Div 2'!$T$54:$T$55</definedName>
    <definedName name="OSRRefT22_10x_0" localSheetId="47">'Div 3'!$T$137</definedName>
    <definedName name="OSRRefT22_10x_0" localSheetId="70">'Div 4'!$T$60</definedName>
    <definedName name="OSRRefT22_10x_0" localSheetId="2">Summary!$T$163</definedName>
    <definedName name="OSRRefT22_11x_0" localSheetId="48">'300'!$T$138</definedName>
    <definedName name="OSRRefT22_11x_0" localSheetId="49">'300 &amp; 317'!$T$158</definedName>
    <definedName name="OSRRefT22_11x_0" localSheetId="50">'301'!$T$58</definedName>
    <definedName name="OSRRefT22_11x_0" localSheetId="54">'308'!$T$85:$T$86</definedName>
    <definedName name="OSRRefT22_11x_0" localSheetId="64">'310'!$T$57</definedName>
    <definedName name="OSRRefT22_11x_0" localSheetId="71">'310 &amp; 491'!$T$63:$T$64</definedName>
    <definedName name="OSRRefT22_11x_0" localSheetId="55">'311'!$T$85:$T$86</definedName>
    <definedName name="OSRRefT22_11x_0" localSheetId="59">'326'!$T$73:$T$75</definedName>
    <definedName name="OSRRefT22_11x_0" localSheetId="57">'331'!$T$107:$T$108</definedName>
    <definedName name="OSRRefT22_11x_0" localSheetId="75">'411'!$T$52</definedName>
    <definedName name="OSRRefT22_11x_0" localSheetId="79">'415'!$T$58:$T$60</definedName>
    <definedName name="OSRRefT22_11x_0" localSheetId="89">'444'!$T$63</definedName>
    <definedName name="OSRRefT22_11x_0" localSheetId="72">'491'!$T$59:$T$60</definedName>
    <definedName name="OSRRefT22_11x_0" localSheetId="85">'492'!$T$61:$T$63</definedName>
    <definedName name="OSRRefT22_11x_0" localSheetId="39">'Div 2'!$T$57:$T$59</definedName>
    <definedName name="OSRRefT22_11x_0" localSheetId="47">'Div 3'!$T$139</definedName>
    <definedName name="OSRRefT22_11x_0" localSheetId="70">'Div 4'!$T$62</definedName>
    <definedName name="OSRRefT22_11x_0" localSheetId="2">Summary!$T$165</definedName>
    <definedName name="OSRRefT22_12x_0" localSheetId="48">'300'!$T$140:$T$141</definedName>
    <definedName name="OSRRefT22_12x_0" localSheetId="49">'300 &amp; 317'!$T$160:$T$161</definedName>
    <definedName name="OSRRefT22_12x_0" localSheetId="50">'301'!$T$60:$T$62</definedName>
    <definedName name="OSRRefT22_12x_0" localSheetId="54">'308'!$T$88:$T$89</definedName>
    <definedName name="OSRRefT22_12x_0" localSheetId="71">'310 &amp; 491'!$T$66:$T$69</definedName>
    <definedName name="OSRRefT22_12x_0" localSheetId="55">'311'!$T$88:$T$89</definedName>
    <definedName name="OSRRefT22_12x_0" localSheetId="59">'326'!$T$77</definedName>
    <definedName name="OSRRefT22_12x_0" localSheetId="57">'331'!$T$110:$T$111</definedName>
    <definedName name="OSRRefT22_12x_0" localSheetId="75">'411'!$T$54</definedName>
    <definedName name="OSRRefT22_12x_0" localSheetId="79">'415'!$T$62</definedName>
    <definedName name="OSRRefT22_12x_0" localSheetId="72">'491'!$T$62:$T$65</definedName>
    <definedName name="OSRRefT22_12x_0" localSheetId="85">'492'!$T$65:$T$69</definedName>
    <definedName name="OSRRefT22_12x_0" localSheetId="39">'Div 2'!$T$61</definedName>
    <definedName name="OSRRefT22_12x_0" localSheetId="47">'Div 3'!$T$141</definedName>
    <definedName name="OSRRefT22_12x_0" localSheetId="70">'Div 4'!$T$64:$T$66</definedName>
    <definedName name="OSRRefT22_12x_0" localSheetId="2">Summary!$T$167</definedName>
    <definedName name="OSRRefT22_13x_0" localSheetId="48">'300'!$T$143</definedName>
    <definedName name="OSRRefT22_13x_0" localSheetId="49">'300 &amp; 317'!$T$163</definedName>
    <definedName name="OSRRefT22_13x_0" localSheetId="50">'301'!$T$64:$T$66</definedName>
    <definedName name="OSRRefT22_13x_0" localSheetId="54">'308'!$T$91</definedName>
    <definedName name="OSRRefT22_13x_0" localSheetId="71">'310 &amp; 491'!$T$71</definedName>
    <definedName name="OSRRefT22_13x_0" localSheetId="55">'311'!$T$91</definedName>
    <definedName name="OSRRefT22_13x_0" localSheetId="59">'326'!$T$79</definedName>
    <definedName name="OSRRefT22_13x_0" localSheetId="57">'331'!$T$113</definedName>
    <definedName name="OSRRefT22_13x_0" localSheetId="79">'415'!$T$64:$T$68</definedName>
    <definedName name="OSRRefT22_13x_0" localSheetId="72">'491'!$T$67</definedName>
    <definedName name="OSRRefT22_13x_0" localSheetId="85">'492'!$T$71</definedName>
    <definedName name="OSRRefT22_13x_0" localSheetId="39">'Div 2'!$T$63</definedName>
    <definedName name="OSRRefT22_13x_0" localSheetId="47">'Div 3'!$T$143:$T$144</definedName>
    <definedName name="OSRRefT22_13x_0" localSheetId="70">'Div 4'!$T$68:$T$71</definedName>
    <definedName name="OSRRefT22_13x_0" localSheetId="2">Summary!$T$169:$T$170</definedName>
    <definedName name="OSRRefT22_14x_0" localSheetId="48">'300'!$T$145:$T$147</definedName>
    <definedName name="OSRRefT22_14x_0" localSheetId="49">'300 &amp; 317'!$T$165:$T$167</definedName>
    <definedName name="OSRRefT22_14x_0" localSheetId="50">'301'!$T$68:$T$71</definedName>
    <definedName name="OSRRefT22_14x_0" localSheetId="71">'310 &amp; 491'!$T$73:$T$77</definedName>
    <definedName name="OSRRefT22_14x_0" localSheetId="59">'326'!$T$81</definedName>
    <definedName name="OSRRefT22_14x_0" localSheetId="57">'331'!$T$115:$T$118</definedName>
    <definedName name="OSRRefT22_14x_0" localSheetId="79">'415'!$T$70</definedName>
    <definedName name="OSRRefT22_14x_0" localSheetId="72">'491'!$T$69:$T$73</definedName>
    <definedName name="OSRRefT22_14x_0" localSheetId="39">'Div 2'!$T$65:$T$68</definedName>
    <definedName name="OSRRefT22_14x_0" localSheetId="47">'Div 3'!$T$146</definedName>
    <definedName name="OSRRefT22_14x_0" localSheetId="70">'Div 4'!$T$73</definedName>
    <definedName name="OSRRefT22_14x_0" localSheetId="2">Summary!$T$172</definedName>
    <definedName name="OSRRefT22_15x_0" localSheetId="48">'300'!$T$149:$T$151</definedName>
    <definedName name="OSRRefT22_15x_0" localSheetId="49">'300 &amp; 317'!$T$169:$T$171</definedName>
    <definedName name="OSRRefT22_15x_0" localSheetId="50">'301'!$T$73</definedName>
    <definedName name="OSRRefT22_15x_0" localSheetId="71">'310 &amp; 491'!$T$79</definedName>
    <definedName name="OSRRefT22_15x_0" localSheetId="57">'331'!$T$120</definedName>
    <definedName name="OSRRefT22_15x_0" localSheetId="79">'415'!$T$72</definedName>
    <definedName name="OSRRefT22_15x_0" localSheetId="72">'491'!$T$75</definedName>
    <definedName name="OSRRefT22_15x_0" localSheetId="39">'Div 2'!$T$70:$T$71</definedName>
    <definedName name="OSRRefT22_15x_0" localSheetId="47">'Div 3'!$T$148:$T$150</definedName>
    <definedName name="OSRRefT22_15x_0" localSheetId="70">'Div 4'!$T$75:$T$79</definedName>
    <definedName name="OSRRefT22_15x_0" localSheetId="2">Summary!$T$174</definedName>
    <definedName name="OSRRefT22_16x_0" localSheetId="48">'300'!$T$153:$T$156</definedName>
    <definedName name="OSRRefT22_16x_0" localSheetId="49">'300 &amp; 317'!$T$173:$T$176</definedName>
    <definedName name="OSRRefT22_16x_0" localSheetId="50">'301'!$T$75</definedName>
    <definedName name="OSRRefT22_16x_0" localSheetId="71">'310 &amp; 491'!$T$81</definedName>
    <definedName name="OSRRefT22_16x_0" localSheetId="57">'331'!$T$122</definedName>
    <definedName name="OSRRefT22_16x_0" localSheetId="72">'491'!$T$77</definedName>
    <definedName name="OSRRefT22_16x_0" localSheetId="39">'Div 2'!$T$73</definedName>
    <definedName name="OSRRefT22_16x_0" localSheetId="47">'Div 3'!$T$152:$T$154</definedName>
    <definedName name="OSRRefT22_16x_0" localSheetId="70">'Div 4'!$T$81</definedName>
    <definedName name="OSRRefT22_16x_0" localSheetId="2">Summary!$T$176:$T$178</definedName>
    <definedName name="OSRRefT22_17x_0" localSheetId="48">'300'!$T$158:$T$159</definedName>
    <definedName name="OSRRefT22_17x_0" localSheetId="49">'300 &amp; 317'!$T$178:$T$179</definedName>
    <definedName name="OSRRefT22_17x_0" localSheetId="50">'301'!$T$77:$T$78</definedName>
    <definedName name="OSRRefT22_17x_0" localSheetId="71">'310 &amp; 491'!$T$83</definedName>
    <definedName name="OSRRefT22_17x_0" localSheetId="57">'331'!$T$124</definedName>
    <definedName name="OSRRefT22_17x_0" localSheetId="72">'491'!$T$79</definedName>
    <definedName name="OSRRefT22_17x_0" localSheetId="47">'Div 3'!$T$156:$T$159</definedName>
    <definedName name="OSRRefT22_17x_0" localSheetId="70">'Div 4'!$T$83</definedName>
    <definedName name="OSRRefT22_17x_0" localSheetId="2">Summary!$T$180:$T$182</definedName>
    <definedName name="OSRRefT22_18x_0" localSheetId="48">'300'!$T$161:$T$166</definedName>
    <definedName name="OSRRefT22_18x_0" localSheetId="49">'300 &amp; 317'!$T$181:$T$186</definedName>
    <definedName name="OSRRefT22_18x_0" localSheetId="50">'301'!$T$80</definedName>
    <definedName name="OSRRefT22_18x_0" localSheetId="47">'Div 3'!$T$161:$T$162</definedName>
    <definedName name="OSRRefT22_18x_0" localSheetId="70">'Div 4'!$T$85</definedName>
    <definedName name="OSRRefT22_18x_0" localSheetId="2">Summary!$T$184:$T$188</definedName>
    <definedName name="OSRRefT22_19x_0" localSheetId="48">'300'!$T$168:$T$169</definedName>
    <definedName name="OSRRefT22_19x_0" localSheetId="49">'300 &amp; 317'!$T$188:$T$189</definedName>
    <definedName name="OSRRefT22_19x_0" localSheetId="47">'Div 3'!$T$164:$T$169</definedName>
    <definedName name="OSRRefT22_19x_0" localSheetId="2">Summary!$T$190:$T$191</definedName>
    <definedName name="OSRRefT22_1x_0" localSheetId="40">'200'!$T$22</definedName>
    <definedName name="OSRRefT22_1x_0" localSheetId="41">'201'!$T$29:$T$30</definedName>
    <definedName name="OSRRefT22_1x_0" localSheetId="42">'202'!$T$29</definedName>
    <definedName name="OSRRefT22_1x_0" localSheetId="43">'203'!$T$30:$T$33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'300'!$T$109:$T$115</definedName>
    <definedName name="OSRRefT22_1x_0" localSheetId="49">'300 &amp; 317'!$T$129:$T$135</definedName>
    <definedName name="OSRRefT22_1x_0" localSheetId="50">'301'!$T$31:$T$37</definedName>
    <definedName name="OSRRefT22_1x_0" localSheetId="51">'306'!$T$25:$T$26</definedName>
    <definedName name="OSRRefT22_1x_0" localSheetId="53">'307'!$T$23</definedName>
    <definedName name="OSRRefT22_1x_0" localSheetId="54">'308'!$T$59:$T$64</definedName>
    <definedName name="OSRRefT22_1x_0" localSheetId="65">'309'!$T$22</definedName>
    <definedName name="OSRRefT22_1x_0" localSheetId="64">'310'!$T$34</definedName>
    <definedName name="OSRRefT22_1x_0" localSheetId="71">'310 &amp; 491'!$T$38:$T$42</definedName>
    <definedName name="OSRRefT22_1x_0" localSheetId="55">'311'!$T$59:$T$64</definedName>
    <definedName name="OSRRefT22_1x_0" localSheetId="66">'313'!$T$33</definedName>
    <definedName name="OSRRefT22_1x_0" localSheetId="58">'315'!$T$81:$T$85</definedName>
    <definedName name="OSRRefT22_1x_0" localSheetId="61">'316'!$T$36:$T$37</definedName>
    <definedName name="OSRRefT22_1x_0" localSheetId="63">'317'!$T$58:$T$60</definedName>
    <definedName name="OSRRefT22_1x_0" localSheetId="67">'321'!$T$25</definedName>
    <definedName name="OSRRefT22_1x_0" localSheetId="68">'322'!$T$27</definedName>
    <definedName name="OSRRefT22_1x_0" localSheetId="69">'325'!$T$27</definedName>
    <definedName name="OSRRefT22_1x_0" localSheetId="59">'326'!$T$48:$T$52</definedName>
    <definedName name="OSRRefT22_1x_0" localSheetId="52">'330'!$T$33</definedName>
    <definedName name="OSRRefT22_1x_0" localSheetId="57">'331'!$T$81:$T$85</definedName>
    <definedName name="OSRRefT22_1x_0" localSheetId="60">'332'!$T$38:$T$39</definedName>
    <definedName name="OSRRefT22_1x_0" localSheetId="73">'405'!$T$29:$T$30</definedName>
    <definedName name="OSRRefT22_1x_0" localSheetId="74">'406'!$T$22</definedName>
    <definedName name="OSRRefT22_1x_0" localSheetId="75">'411'!$T$29:$T$30</definedName>
    <definedName name="OSRRefT22_1x_0" localSheetId="76">'412'!$T$22</definedName>
    <definedName name="OSRRefT22_1x_0" localSheetId="77">'413'!$T$26</definedName>
    <definedName name="OSRRefT22_1x_0" localSheetId="78">'414'!$T$23</definedName>
    <definedName name="OSRRefT22_1x_0" localSheetId="79">'415'!$T$33:$T$36</definedName>
    <definedName name="OSRRefT22_1x_0" localSheetId="80">'418'!$T$29:$T$32</definedName>
    <definedName name="OSRRefT22_1x_0" localSheetId="81">'423'!$T$23</definedName>
    <definedName name="OSRRefT22_1x_0" localSheetId="82">'424'!$T$22</definedName>
    <definedName name="OSRRefT22_1x_0" localSheetId="83">'425'!$T$27</definedName>
    <definedName name="OSRRefT22_1x_0" localSheetId="86">'430'!$T$29</definedName>
    <definedName name="OSRRefT22_1x_0" localSheetId="87">'433'!$T$35:$T$37</definedName>
    <definedName name="OSRRefT22_1x_0" localSheetId="89">'444'!$T$35:$T$38</definedName>
    <definedName name="OSRRefT22_1x_0" localSheetId="90">'450'!$T$30:$T$32</definedName>
    <definedName name="OSRRefT22_1x_0" localSheetId="72">'491'!$T$34:$T$38</definedName>
    <definedName name="OSRRefT22_1x_0" localSheetId="85">'492'!$T$35:$T$39</definedName>
    <definedName name="OSRRefT22_1x_0" localSheetId="92">'501'!$T$30:$T$33</definedName>
    <definedName name="OSRRefT22_1x_0" localSheetId="39">'Div 2'!$T$31:$T$36</definedName>
    <definedName name="OSRRefT22_1x_0" localSheetId="47">'Div 3'!$T$110:$T$116</definedName>
    <definedName name="OSRRefT22_1x_0" localSheetId="70">'Div 4'!$T$37:$T$41</definedName>
    <definedName name="OSRRefT22_1x_0" localSheetId="91">'Div 5'!$T$30:$T$33</definedName>
    <definedName name="OSRRefT22_1x_0" localSheetId="62">'Div 6'!$T$58:$T$60</definedName>
    <definedName name="OSRRefT22_1x_0" localSheetId="2">Summary!$T$136:$T$142</definedName>
    <definedName name="OSRRefT22_20x_0" localSheetId="48">'300'!$T$171</definedName>
    <definedName name="OSRRefT22_20x_0" localSheetId="49">'300 &amp; 317'!$T$191</definedName>
    <definedName name="OSRRefT22_20x_0" localSheetId="47">'Div 3'!$T$171:$T$172</definedName>
    <definedName name="OSRRefT22_20x_0" localSheetId="2">Summary!$T$193:$T$199</definedName>
    <definedName name="OSRRefT22_21x_0" localSheetId="48">'300'!$T$173:$T$175</definedName>
    <definedName name="OSRRefT22_21x_0" localSheetId="49">'300 &amp; 317'!$T$193:$T$195</definedName>
    <definedName name="OSRRefT22_21x_0" localSheetId="47">'Div 3'!$T$174</definedName>
    <definedName name="OSRRefT22_21x_0" localSheetId="2">Summary!$T$201:$T$202</definedName>
    <definedName name="OSRRefT22_22x_0" localSheetId="48">'300'!$T$177</definedName>
    <definedName name="OSRRefT22_22x_0" localSheetId="49">'300 &amp; 317'!$T$197</definedName>
    <definedName name="OSRRefT22_22x_0" localSheetId="47">'Div 3'!$T$176:$T$178</definedName>
    <definedName name="OSRRefT22_22x_0" localSheetId="2">Summary!$T$204</definedName>
    <definedName name="OSRRefT22_23x_0" localSheetId="47">'Div 3'!$T$180</definedName>
    <definedName name="OSRRefT22_23x_0" localSheetId="2">Summary!$T$206:$T$208</definedName>
    <definedName name="OSRRefT22_24x_0" localSheetId="2">Summary!$T$210</definedName>
    <definedName name="OSRRefT22_2x_0" localSheetId="40">'200'!$T$24</definedName>
    <definedName name="OSRRefT22_2x_0" localSheetId="41">'201'!$T$32</definedName>
    <definedName name="OSRRefT22_2x_0" localSheetId="42">'202'!$T$31</definedName>
    <definedName name="OSRRefT22_2x_0" localSheetId="43">'203'!$T$35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'300'!$T$117</definedName>
    <definedName name="OSRRefT22_2x_0" localSheetId="49">'300 &amp; 317'!$T$137</definedName>
    <definedName name="OSRRefT22_2x_0" localSheetId="50">'301'!$T$39</definedName>
    <definedName name="OSRRefT22_2x_0" localSheetId="51">'306'!$T$28</definedName>
    <definedName name="OSRRefT22_2x_0" localSheetId="53">'307'!$T$25</definedName>
    <definedName name="OSRRefT22_2x_0" localSheetId="54">'308'!$T$66</definedName>
    <definedName name="OSRRefT22_2x_0" localSheetId="65">'309'!$T$24:$T$25</definedName>
    <definedName name="OSRRefT22_2x_0" localSheetId="64">'310'!$T$36</definedName>
    <definedName name="OSRRefT22_2x_0" localSheetId="71">'310 &amp; 491'!$T$44</definedName>
    <definedName name="OSRRefT22_2x_0" localSheetId="55">'311'!$T$66</definedName>
    <definedName name="OSRRefT22_2x_0" localSheetId="66">'313'!$T$35</definedName>
    <definedName name="OSRRefT22_2x_0" localSheetId="58">'315'!$T$87</definedName>
    <definedName name="OSRRefT22_2x_0" localSheetId="61">'316'!$T$39</definedName>
    <definedName name="OSRRefT22_2x_0" localSheetId="63">'317'!$T$62</definedName>
    <definedName name="OSRRefT22_2x_0" localSheetId="67">'321'!$T$27</definedName>
    <definedName name="OSRRefT22_2x_0" localSheetId="68">'322'!$T$29</definedName>
    <definedName name="OSRRefT22_2x_0" localSheetId="69">'325'!$T$29</definedName>
    <definedName name="OSRRefT22_2x_0" localSheetId="59">'326'!$T$54</definedName>
    <definedName name="OSRRefT22_2x_0" localSheetId="52">'330'!$T$35</definedName>
    <definedName name="OSRRefT22_2x_0" localSheetId="57">'331'!$T$87</definedName>
    <definedName name="OSRRefT22_2x_0" localSheetId="60">'332'!$T$41</definedName>
    <definedName name="OSRRefT22_2x_0" localSheetId="73">'405'!$T$32</definedName>
    <definedName name="OSRRefT22_2x_0" localSheetId="74">'406'!$T$24</definedName>
    <definedName name="OSRRefT22_2x_0" localSheetId="75">'411'!$T$32</definedName>
    <definedName name="OSRRefT22_2x_0" localSheetId="76">'412'!$T$24</definedName>
    <definedName name="OSRRefT22_2x_0" localSheetId="77">'413'!$T$28</definedName>
    <definedName name="OSRRefT22_2x_0" localSheetId="79">'415'!$T$38</definedName>
    <definedName name="OSRRefT22_2x_0" localSheetId="80">'418'!$T$34</definedName>
    <definedName name="OSRRefT22_2x_0" localSheetId="81">'423'!$T$25</definedName>
    <definedName name="OSRRefT22_2x_0" localSheetId="82">'424'!$T$24</definedName>
    <definedName name="OSRRefT22_2x_0" localSheetId="83">'425'!$T$29</definedName>
    <definedName name="OSRRefT22_2x_0" localSheetId="86">'430'!$T$31</definedName>
    <definedName name="OSRRefT22_2x_0" localSheetId="87">'433'!$T$39</definedName>
    <definedName name="OSRRefT22_2x_0" localSheetId="89">'444'!$T$40</definedName>
    <definedName name="OSRRefT22_2x_0" localSheetId="90">'450'!$T$34</definedName>
    <definedName name="OSRRefT22_2x_0" localSheetId="72">'491'!$T$40</definedName>
    <definedName name="OSRRefT22_2x_0" localSheetId="85">'492'!$T$41</definedName>
    <definedName name="OSRRefT22_2x_0" localSheetId="92">'501'!$T$35</definedName>
    <definedName name="OSRRefT22_2x_0" localSheetId="39">'Div 2'!$T$38</definedName>
    <definedName name="OSRRefT22_2x_0" localSheetId="47">'Div 3'!$T$118</definedName>
    <definedName name="OSRRefT22_2x_0" localSheetId="70">'Div 4'!$T$43</definedName>
    <definedName name="OSRRefT22_2x_0" localSheetId="91">'Div 5'!$T$35</definedName>
    <definedName name="OSRRefT22_2x_0" localSheetId="62">'Div 6'!$T$62</definedName>
    <definedName name="OSRRefT22_2x_0" localSheetId="2">Summary!$T$144</definedName>
    <definedName name="OSRRefT22_3x_0" localSheetId="41">'201'!$T$34</definedName>
    <definedName name="OSRRefT22_3x_0" localSheetId="42">'202'!$T$33</definedName>
    <definedName name="OSRRefT22_3x_0" localSheetId="43">'203'!$T$37</definedName>
    <definedName name="OSRRefT22_3x_0" localSheetId="44">'204'!$T$36</definedName>
    <definedName name="OSRRefT22_3x_0" localSheetId="45">'205'!$T$33:$T$34</definedName>
    <definedName name="OSRRefT22_3x_0" localSheetId="46">'206'!$T$34</definedName>
    <definedName name="OSRRefT22_3x_0" localSheetId="48">'300'!$T$119</definedName>
    <definedName name="OSRRefT22_3x_0" localSheetId="49">'300 &amp; 317'!$T$139</definedName>
    <definedName name="OSRRefT22_3x_0" localSheetId="50">'301'!$T$41</definedName>
    <definedName name="OSRRefT22_3x_0" localSheetId="51">'306'!$T$30</definedName>
    <definedName name="OSRRefT22_3x_0" localSheetId="53">'307'!$T$27:$T$28</definedName>
    <definedName name="OSRRefT22_3x_0" localSheetId="54">'308'!$T$68</definedName>
    <definedName name="OSRRefT22_3x_0" localSheetId="65">'309'!$T$27</definedName>
    <definedName name="OSRRefT22_3x_0" localSheetId="64">'310'!$T$38:$T$39</definedName>
    <definedName name="OSRRefT22_3x_0" localSheetId="71">'310 &amp; 491'!$T$46</definedName>
    <definedName name="OSRRefT22_3x_0" localSheetId="55">'311'!$T$68</definedName>
    <definedName name="OSRRefT22_3x_0" localSheetId="66">'313'!$T$37</definedName>
    <definedName name="OSRRefT22_3x_0" localSheetId="58">'315'!$T$89</definedName>
    <definedName name="OSRRefT22_3x_0" localSheetId="61">'316'!$T$41</definedName>
    <definedName name="OSRRefT22_3x_0" localSheetId="63">'317'!$T$64</definedName>
    <definedName name="OSRRefT22_3x_0" localSheetId="67">'321'!$T$29</definedName>
    <definedName name="OSRRefT22_3x_0" localSheetId="68">'322'!$T$31</definedName>
    <definedName name="OSRRefT22_3x_0" localSheetId="69">'325'!$T$31:$T$32</definedName>
    <definedName name="OSRRefT22_3x_0" localSheetId="59">'326'!$T$56</definedName>
    <definedName name="OSRRefT22_3x_0" localSheetId="52">'330'!$T$37</definedName>
    <definedName name="OSRRefT22_3x_0" localSheetId="57">'331'!$T$89</definedName>
    <definedName name="OSRRefT22_3x_0" localSheetId="60">'332'!$T$43</definedName>
    <definedName name="OSRRefT22_3x_0" localSheetId="73">'405'!$T$34:$T$35</definedName>
    <definedName name="OSRRefT22_3x_0" localSheetId="74">'406'!$T$26</definedName>
    <definedName name="OSRRefT22_3x_0" localSheetId="75">'411'!$T$34:$T$35</definedName>
    <definedName name="OSRRefT22_3x_0" localSheetId="76">'412'!$T$26</definedName>
    <definedName name="OSRRefT22_3x_0" localSheetId="77">'413'!$T$30</definedName>
    <definedName name="OSRRefT22_3x_0" localSheetId="79">'415'!$T$40</definedName>
    <definedName name="OSRRefT22_3x_0" localSheetId="80">'418'!$T$36</definedName>
    <definedName name="OSRRefT22_3x_0" localSheetId="83">'425'!$T$31</definedName>
    <definedName name="OSRRefT22_3x_0" localSheetId="86">'430'!$T$33</definedName>
    <definedName name="OSRRefT22_3x_0" localSheetId="87">'433'!$T$41</definedName>
    <definedName name="OSRRefT22_3x_0" localSheetId="89">'444'!$T$42</definedName>
    <definedName name="OSRRefT22_3x_0" localSheetId="90">'450'!$T$36</definedName>
    <definedName name="OSRRefT22_3x_0" localSheetId="72">'491'!$T$42</definedName>
    <definedName name="OSRRefT22_3x_0" localSheetId="85">'492'!$T$43</definedName>
    <definedName name="OSRRefT22_3x_0" localSheetId="92">'501'!$T$37</definedName>
    <definedName name="OSRRefT22_3x_0" localSheetId="39">'Div 2'!$T$40</definedName>
    <definedName name="OSRRefT22_3x_0" localSheetId="47">'Div 3'!$T$120</definedName>
    <definedName name="OSRRefT22_3x_0" localSheetId="70">'Div 4'!$T$45</definedName>
    <definedName name="OSRRefT22_3x_0" localSheetId="91">'Div 5'!$T$37</definedName>
    <definedName name="OSRRefT22_3x_0" localSheetId="62">'Div 6'!$T$64</definedName>
    <definedName name="OSRRefT22_3x_0" localSheetId="2">Summary!$T$146</definedName>
    <definedName name="OSRRefT22_4x_0" localSheetId="41">'201'!$T$36</definedName>
    <definedName name="OSRRefT22_4x_0" localSheetId="42">'202'!$T$35</definedName>
    <definedName name="OSRRefT22_4x_0" localSheetId="43">'203'!$T$39</definedName>
    <definedName name="OSRRefT22_4x_0" localSheetId="44">'204'!$T$38:$T$39</definedName>
    <definedName name="OSRRefT22_4x_0" localSheetId="45">'205'!$T$36</definedName>
    <definedName name="OSRRefT22_4x_0" localSheetId="46">'206'!$T$36</definedName>
    <definedName name="OSRRefT22_4x_0" localSheetId="48">'300'!$T$121</definedName>
    <definedName name="OSRRefT22_4x_0" localSheetId="49">'300 &amp; 317'!$T$141</definedName>
    <definedName name="OSRRefT22_4x_0" localSheetId="50">'301'!$T$43:$T$44</definedName>
    <definedName name="OSRRefT22_4x_0" localSheetId="53">'307'!$T$30</definedName>
    <definedName name="OSRRefT22_4x_0" localSheetId="54">'308'!$T$70</definedName>
    <definedName name="OSRRefT22_4x_0" localSheetId="64">'310'!$T$41</definedName>
    <definedName name="OSRRefT22_4x_0" localSheetId="71">'310 &amp; 491'!$T$48</definedName>
    <definedName name="OSRRefT22_4x_0" localSheetId="55">'311'!$T$70</definedName>
    <definedName name="OSRRefT22_4x_0" localSheetId="58">'315'!$T$91</definedName>
    <definedName name="OSRRefT22_4x_0" localSheetId="61">'316'!$T$43:$T$44</definedName>
    <definedName name="OSRRefT22_4x_0" localSheetId="63">'317'!$T$66</definedName>
    <definedName name="OSRRefT22_4x_0" localSheetId="67">'321'!$T$31</definedName>
    <definedName name="OSRRefT22_4x_0" localSheetId="68">'322'!$T$33</definedName>
    <definedName name="OSRRefT22_4x_0" localSheetId="69">'325'!$T$34</definedName>
    <definedName name="OSRRefT22_4x_0" localSheetId="59">'326'!$T$58</definedName>
    <definedName name="OSRRefT22_4x_0" localSheetId="52">'330'!$T$39</definedName>
    <definedName name="OSRRefT22_4x_0" localSheetId="57">'331'!$T$91</definedName>
    <definedName name="OSRRefT22_4x_0" localSheetId="60">'332'!$T$45:$T$46</definedName>
    <definedName name="OSRRefT22_4x_0" localSheetId="73">'405'!$T$37</definedName>
    <definedName name="OSRRefT22_4x_0" localSheetId="75">'411'!$T$37</definedName>
    <definedName name="OSRRefT22_4x_0" localSheetId="77">'413'!$T$32</definedName>
    <definedName name="OSRRefT22_4x_0" localSheetId="79">'415'!$T$42</definedName>
    <definedName name="OSRRefT22_4x_0" localSheetId="80">'418'!$T$38:$T$39</definedName>
    <definedName name="OSRRefT22_4x_0" localSheetId="86">'430'!$T$35</definedName>
    <definedName name="OSRRefT22_4x_0" localSheetId="87">'433'!$T$43</definedName>
    <definedName name="OSRRefT22_4x_0" localSheetId="89">'444'!$T$44</definedName>
    <definedName name="OSRRefT22_4x_0" localSheetId="90">'450'!$T$38</definedName>
    <definedName name="OSRRefT22_4x_0" localSheetId="72">'491'!$T$44</definedName>
    <definedName name="OSRRefT22_4x_0" localSheetId="85">'492'!$T$45</definedName>
    <definedName name="OSRRefT22_4x_0" localSheetId="92">'501'!$T$39</definedName>
    <definedName name="OSRRefT22_4x_0" localSheetId="39">'Div 2'!$T$42</definedName>
    <definedName name="OSRRefT22_4x_0" localSheetId="47">'Div 3'!$T$122</definedName>
    <definedName name="OSRRefT22_4x_0" localSheetId="70">'Div 4'!$T$47</definedName>
    <definedName name="OSRRefT22_4x_0" localSheetId="91">'Div 5'!$T$39</definedName>
    <definedName name="OSRRefT22_4x_0" localSheetId="62">'Div 6'!$T$66</definedName>
    <definedName name="OSRRefT22_4x_0" localSheetId="2">Summary!$T$148</definedName>
    <definedName name="OSRRefT22_5x_0" localSheetId="41">'201'!$T$38</definedName>
    <definedName name="OSRRefT22_5x_0" localSheetId="42">'202'!$T$37</definedName>
    <definedName name="OSRRefT22_5x_0" localSheetId="43">'203'!$T$41:$T$42</definedName>
    <definedName name="OSRRefT22_5x_0" localSheetId="44">'204'!$T$41</definedName>
    <definedName name="OSRRefT22_5x_0" localSheetId="48">'300'!$T$123:$T$124</definedName>
    <definedName name="OSRRefT22_5x_0" localSheetId="49">'300 &amp; 317'!$T$143:$T$144</definedName>
    <definedName name="OSRRefT22_5x_0" localSheetId="50">'301'!$T$46</definedName>
    <definedName name="OSRRefT22_5x_0" localSheetId="53">'307'!$T$32</definedName>
    <definedName name="OSRRefT22_5x_0" localSheetId="54">'308'!$T$72</definedName>
    <definedName name="OSRRefT22_5x_0" localSheetId="64">'310'!$T$43</definedName>
    <definedName name="OSRRefT22_5x_0" localSheetId="71">'310 &amp; 491'!$T$50:$T$51</definedName>
    <definedName name="OSRRefT22_5x_0" localSheetId="55">'311'!$T$72</definedName>
    <definedName name="OSRRefT22_5x_0" localSheetId="58">'315'!$T$93:$T$94</definedName>
    <definedName name="OSRRefT22_5x_0" localSheetId="61">'316'!$T$46:$T$47</definedName>
    <definedName name="OSRRefT22_5x_0" localSheetId="63">'317'!$T$68:$T$69</definedName>
    <definedName name="OSRRefT22_5x_0" localSheetId="67">'321'!$T$33</definedName>
    <definedName name="OSRRefT22_5x_0" localSheetId="69">'325'!$T$36</definedName>
    <definedName name="OSRRefT22_5x_0" localSheetId="59">'326'!$T$60</definedName>
    <definedName name="OSRRefT22_5x_0" localSheetId="52">'330'!$T$41</definedName>
    <definedName name="OSRRefT22_5x_0" localSheetId="57">'331'!$T$93</definedName>
    <definedName name="OSRRefT22_5x_0" localSheetId="60">'332'!$T$48:$T$49</definedName>
    <definedName name="OSRRefT22_5x_0" localSheetId="73">'405'!$T$39</definedName>
    <definedName name="OSRRefT22_5x_0" localSheetId="75">'411'!$T$39</definedName>
    <definedName name="OSRRefT22_5x_0" localSheetId="79">'415'!$T$44:$T$45</definedName>
    <definedName name="OSRRefT22_5x_0" localSheetId="80">'418'!$T$41</definedName>
    <definedName name="OSRRefT22_5x_0" localSheetId="86">'430'!$T$37</definedName>
    <definedName name="OSRRefT22_5x_0" localSheetId="87">'433'!$T$45</definedName>
    <definedName name="OSRRefT22_5x_0" localSheetId="89">'444'!$T$46</definedName>
    <definedName name="OSRRefT22_5x_0" localSheetId="90">'450'!$T$40</definedName>
    <definedName name="OSRRefT22_5x_0" localSheetId="72">'491'!$T$46:$T$47</definedName>
    <definedName name="OSRRefT22_5x_0" localSheetId="85">'492'!$T$47</definedName>
    <definedName name="OSRRefT22_5x_0" localSheetId="92">'501'!$T$41</definedName>
    <definedName name="OSRRefT22_5x_0" localSheetId="39">'Div 2'!$T$44</definedName>
    <definedName name="OSRRefT22_5x_0" localSheetId="47">'Div 3'!$T$124:$T$125</definedName>
    <definedName name="OSRRefT22_5x_0" localSheetId="70">'Div 4'!$T$49:$T$50</definedName>
    <definedName name="OSRRefT22_5x_0" localSheetId="91">'Div 5'!$T$41</definedName>
    <definedName name="OSRRefT22_5x_0" localSheetId="62">'Div 6'!$T$68:$T$69</definedName>
    <definedName name="OSRRefT22_5x_0" localSheetId="2">Summary!$T$150:$T$151</definedName>
    <definedName name="OSRRefT22_6x_0" localSheetId="41">'201'!$T$40</definedName>
    <definedName name="OSRRefT22_6x_0" localSheetId="42">'202'!$T$39:$T$40</definedName>
    <definedName name="OSRRefT22_6x_0" localSheetId="43">'203'!$T$44</definedName>
    <definedName name="OSRRefT22_6x_0" localSheetId="44">'204'!$T$43:$T$44</definedName>
    <definedName name="OSRRefT22_6x_0" localSheetId="48">'300'!$T$126:$T$127</definedName>
    <definedName name="OSRRefT22_6x_0" localSheetId="49">'300 &amp; 317'!$T$146:$T$147</definedName>
    <definedName name="OSRRefT22_6x_0" localSheetId="50">'301'!$T$48</definedName>
    <definedName name="OSRRefT22_6x_0" localSheetId="54">'308'!$T$74</definedName>
    <definedName name="OSRRefT22_6x_0" localSheetId="64">'310'!$T$45</definedName>
    <definedName name="OSRRefT22_6x_0" localSheetId="71">'310 &amp; 491'!$T$53</definedName>
    <definedName name="OSRRefT22_6x_0" localSheetId="55">'311'!$T$74</definedName>
    <definedName name="OSRRefT22_6x_0" localSheetId="58">'315'!$T$96:$T$97</definedName>
    <definedName name="OSRRefT22_6x_0" localSheetId="61">'316'!$T$49</definedName>
    <definedName name="OSRRefT22_6x_0" localSheetId="63">'317'!$T$71</definedName>
    <definedName name="OSRRefT22_6x_0" localSheetId="67">'321'!$T$35:$T$36</definedName>
    <definedName name="OSRRefT22_6x_0" localSheetId="69">'325'!$T$38</definedName>
    <definedName name="OSRRefT22_6x_0" localSheetId="59">'326'!$T$62</definedName>
    <definedName name="OSRRefT22_6x_0" localSheetId="52">'330'!$T$43:$T$44</definedName>
    <definedName name="OSRRefT22_6x_0" localSheetId="57">'331'!$T$95</definedName>
    <definedName name="OSRRefT22_6x_0" localSheetId="60">'332'!$T$51</definedName>
    <definedName name="OSRRefT22_6x_0" localSheetId="73">'405'!$T$41</definedName>
    <definedName name="OSRRefT22_6x_0" localSheetId="75">'411'!$T$41</definedName>
    <definedName name="OSRRefT22_6x_0" localSheetId="79">'415'!$T$47</definedName>
    <definedName name="OSRRefT22_6x_0" localSheetId="80">'418'!$T$43</definedName>
    <definedName name="OSRRefT22_6x_0" localSheetId="87">'433'!$T$47</definedName>
    <definedName name="OSRRefT22_6x_0" localSheetId="89">'444'!$T$48</definedName>
    <definedName name="OSRRefT22_6x_0" localSheetId="90">'450'!$T$42:$T$43</definedName>
    <definedName name="OSRRefT22_6x_0" localSheetId="72">'491'!$T$49</definedName>
    <definedName name="OSRRefT22_6x_0" localSheetId="85">'492'!$T$49</definedName>
    <definedName name="OSRRefT22_6x_0" localSheetId="92">'501'!$T$43</definedName>
    <definedName name="OSRRefT22_6x_0" localSheetId="39">'Div 2'!$T$46</definedName>
    <definedName name="OSRRefT22_6x_0" localSheetId="47">'Div 3'!$T$127:$T$128</definedName>
    <definedName name="OSRRefT22_6x_0" localSheetId="70">'Div 4'!$T$52</definedName>
    <definedName name="OSRRefT22_6x_0" localSheetId="91">'Div 5'!$T$43</definedName>
    <definedName name="OSRRefT22_6x_0" localSheetId="62">'Div 6'!$T$71</definedName>
    <definedName name="OSRRefT22_6x_0" localSheetId="2">Summary!$T$153:$T$154</definedName>
    <definedName name="OSRRefT22_7x_0" localSheetId="41">'201'!$T$42</definedName>
    <definedName name="OSRRefT22_7x_0" localSheetId="42">'202'!$T$42</definedName>
    <definedName name="OSRRefT22_7x_0" localSheetId="43">'203'!$T$46</definedName>
    <definedName name="OSRRefT22_7x_0" localSheetId="48">'300'!$T$129</definedName>
    <definedName name="OSRRefT22_7x_0" localSheetId="49">'300 &amp; 317'!$T$149</definedName>
    <definedName name="OSRRefT22_7x_0" localSheetId="50">'301'!$T$50</definedName>
    <definedName name="OSRRefT22_7x_0" localSheetId="54">'308'!$T$76</definedName>
    <definedName name="OSRRefT22_7x_0" localSheetId="64">'310'!$T$47</definedName>
    <definedName name="OSRRefT22_7x_0" localSheetId="71">'310 &amp; 491'!$T$55</definedName>
    <definedName name="OSRRefT22_7x_0" localSheetId="55">'311'!$T$76</definedName>
    <definedName name="OSRRefT22_7x_0" localSheetId="58">'315'!$T$99:$T$100</definedName>
    <definedName name="OSRRefT22_7x_0" localSheetId="61">'316'!$T$51:$T$55</definedName>
    <definedName name="OSRRefT22_7x_0" localSheetId="63">'317'!$T$73</definedName>
    <definedName name="OSRRefT22_7x_0" localSheetId="67">'321'!$T$38</definedName>
    <definedName name="OSRRefT22_7x_0" localSheetId="69">'325'!$T$40</definedName>
    <definedName name="OSRRefT22_7x_0" localSheetId="59">'326'!$T$64</definedName>
    <definedName name="OSRRefT22_7x_0" localSheetId="52">'330'!$T$46</definedName>
    <definedName name="OSRRefT22_7x_0" localSheetId="57">'331'!$T$97:$T$98</definedName>
    <definedName name="OSRRefT22_7x_0" localSheetId="60">'332'!$T$53:$T$57</definedName>
    <definedName name="OSRRefT22_7x_0" localSheetId="73">'405'!$T$43</definedName>
    <definedName name="OSRRefT22_7x_0" localSheetId="75">'411'!$T$43:$T$44</definedName>
    <definedName name="OSRRefT22_7x_0" localSheetId="79">'415'!$T$49</definedName>
    <definedName name="OSRRefT22_7x_0" localSheetId="80">'418'!$T$45</definedName>
    <definedName name="OSRRefT22_7x_0" localSheetId="87">'433'!$T$49</definedName>
    <definedName name="OSRRefT22_7x_0" localSheetId="89">'444'!$T$50</definedName>
    <definedName name="OSRRefT22_7x_0" localSheetId="90">'450'!$T$45</definedName>
    <definedName name="OSRRefT22_7x_0" localSheetId="72">'491'!$T$51</definedName>
    <definedName name="OSRRefT22_7x_0" localSheetId="85">'492'!$T$51</definedName>
    <definedName name="OSRRefT22_7x_0" localSheetId="92">'501'!$T$45</definedName>
    <definedName name="OSRRefT22_7x_0" localSheetId="39">'Div 2'!$T$48</definedName>
    <definedName name="OSRRefT22_7x_0" localSheetId="47">'Div 3'!$T$130</definedName>
    <definedName name="OSRRefT22_7x_0" localSheetId="70">'Div 4'!$T$54</definedName>
    <definedName name="OSRRefT22_7x_0" localSheetId="91">'Div 5'!$T$45</definedName>
    <definedName name="OSRRefT22_7x_0" localSheetId="62">'Div 6'!$T$73</definedName>
    <definedName name="OSRRefT22_7x_0" localSheetId="2">Summary!$T$156</definedName>
    <definedName name="OSRRefT22_8x_0" localSheetId="41">'201'!$T$44</definedName>
    <definedName name="OSRRefT22_8x_0" localSheetId="42">'202'!$T$44:$T$45</definedName>
    <definedName name="OSRRefT22_8x_0" localSheetId="43">'203'!$T$48:$T$51</definedName>
    <definedName name="OSRRefT22_8x_0" localSheetId="48">'300'!$T$131</definedName>
    <definedName name="OSRRefT22_8x_0" localSheetId="49">'300 &amp; 317'!$T$151</definedName>
    <definedName name="OSRRefT22_8x_0" localSheetId="50">'301'!$T$52</definedName>
    <definedName name="OSRRefT22_8x_0" localSheetId="54">'308'!$T$78</definedName>
    <definedName name="OSRRefT22_8x_0" localSheetId="64">'310'!$T$49:$T$50</definedName>
    <definedName name="OSRRefT22_8x_0" localSheetId="71">'310 &amp; 491'!$T$57</definedName>
    <definedName name="OSRRefT22_8x_0" localSheetId="55">'311'!$T$78</definedName>
    <definedName name="OSRRefT22_8x_0" localSheetId="58">'315'!$T$102:$T$104</definedName>
    <definedName name="OSRRefT22_8x_0" localSheetId="61">'316'!$T$57</definedName>
    <definedName name="OSRRefT22_8x_0" localSheetId="63">'317'!$T$75:$T$77</definedName>
    <definedName name="OSRRefT22_8x_0" localSheetId="67">'321'!$T$40</definedName>
    <definedName name="OSRRefT22_8x_0" localSheetId="69">'325'!$T$42</definedName>
    <definedName name="OSRRefT22_8x_0" localSheetId="59">'326'!$T$66</definedName>
    <definedName name="OSRRefT22_8x_0" localSheetId="52">'330'!$T$48</definedName>
    <definedName name="OSRRefT22_8x_0" localSheetId="57">'331'!$T$100</definedName>
    <definedName name="OSRRefT22_8x_0" localSheetId="60">'332'!$T$59</definedName>
    <definedName name="OSRRefT22_8x_0" localSheetId="73">'405'!$T$45</definedName>
    <definedName name="OSRRefT22_8x_0" localSheetId="75">'411'!$T$46</definedName>
    <definedName name="OSRRefT22_8x_0" localSheetId="79">'415'!$T$51</definedName>
    <definedName name="OSRRefT22_8x_0" localSheetId="80">'418'!$T$47</definedName>
    <definedName name="OSRRefT22_8x_0" localSheetId="87">'433'!$T$51:$T$53</definedName>
    <definedName name="OSRRefT22_8x_0" localSheetId="89">'444'!$T$52:$T$53</definedName>
    <definedName name="OSRRefT22_8x_0" localSheetId="90">'450'!$T$47</definedName>
    <definedName name="OSRRefT22_8x_0" localSheetId="72">'491'!$T$53</definedName>
    <definedName name="OSRRefT22_8x_0" localSheetId="85">'492'!$T$53</definedName>
    <definedName name="OSRRefT22_8x_0" localSheetId="39">'Div 2'!$T$50</definedName>
    <definedName name="OSRRefT22_8x_0" localSheetId="47">'Div 3'!$T$132</definedName>
    <definedName name="OSRRefT22_8x_0" localSheetId="70">'Div 4'!$T$56</definedName>
    <definedName name="OSRRefT22_8x_0" localSheetId="62">'Div 6'!$T$75:$T$77</definedName>
    <definedName name="OSRRefT22_8x_0" localSheetId="2">Summary!$T$158</definedName>
    <definedName name="OSRRefT22_9x_0" localSheetId="41">'201'!$T$46:$T$47</definedName>
    <definedName name="OSRRefT22_9x_0" localSheetId="42">'202'!$T$47</definedName>
    <definedName name="OSRRefT22_9x_0" localSheetId="43">'203'!$T$53</definedName>
    <definedName name="OSRRefT22_9x_0" localSheetId="48">'300'!$T$133:$T$134</definedName>
    <definedName name="OSRRefT22_9x_0" localSheetId="49">'300 &amp; 317'!$T$153:$T$154</definedName>
    <definedName name="OSRRefT22_9x_0" localSheetId="50">'301'!$T$54</definedName>
    <definedName name="OSRRefT22_9x_0" localSheetId="54">'308'!$T$80:$T$81</definedName>
    <definedName name="OSRRefT22_9x_0" localSheetId="64">'310'!$T$52:$T$53</definedName>
    <definedName name="OSRRefT22_9x_0" localSheetId="71">'310 &amp; 491'!$T$59</definedName>
    <definedName name="OSRRefT22_9x_0" localSheetId="55">'311'!$T$80:$T$81</definedName>
    <definedName name="OSRRefT22_9x_0" localSheetId="58">'315'!$T$106</definedName>
    <definedName name="OSRRefT22_9x_0" localSheetId="63">'317'!$T$79</definedName>
    <definedName name="OSRRefT22_9x_0" localSheetId="69">'325'!$T$44</definedName>
    <definedName name="OSRRefT22_9x_0" localSheetId="59">'326'!$T$68:$T$69</definedName>
    <definedName name="OSRRefT22_9x_0" localSheetId="57">'331'!$T$102:$T$103</definedName>
    <definedName name="OSRRefT22_9x_0" localSheetId="73">'405'!$T$47</definedName>
    <definedName name="OSRRefT22_9x_0" localSheetId="75">'411'!$T$48</definedName>
    <definedName name="OSRRefT22_9x_0" localSheetId="79">'415'!$T$53</definedName>
    <definedName name="OSRRefT22_9x_0" localSheetId="80">'418'!$T$49</definedName>
    <definedName name="OSRRefT22_9x_0" localSheetId="87">'433'!$T$55:$T$59</definedName>
    <definedName name="OSRRefT22_9x_0" localSheetId="89">'444'!$T$55:$T$57</definedName>
    <definedName name="OSRRefT22_9x_0" localSheetId="72">'491'!$T$55</definedName>
    <definedName name="OSRRefT22_9x_0" localSheetId="85">'492'!$T$55</definedName>
    <definedName name="OSRRefT22_9x_0" localSheetId="39">'Div 2'!$T$52</definedName>
    <definedName name="OSRRefT22_9x_0" localSheetId="47">'Div 3'!$T$134:$T$135</definedName>
    <definedName name="OSRRefT22_9x_0" localSheetId="70">'Div 4'!$T$58</definedName>
    <definedName name="OSRRefT22_9x_0" localSheetId="62">'Div 6'!$T$79</definedName>
    <definedName name="OSRRefT22_9x_0" localSheetId="2">Summary!$T$160:$T$161</definedName>
    <definedName name="OSRRefT22x_0" localSheetId="40">'200'!$T$20,'200'!$T$22,'200'!$T$24</definedName>
    <definedName name="OSRRefT22x_0" localSheetId="41">'201'!$T$20:$T$27,'201'!$T$29:$T$30,'201'!$T$32,'201'!$T$34,'201'!$T$36,'201'!$T$38,'201'!$T$40,'201'!$T$42,'201'!$T$44,'201'!$T$46:$T$47,'201'!$T$49</definedName>
    <definedName name="OSRRefT22x_0" localSheetId="42">'202'!$T$20:$T$27,'202'!$T$29,'202'!$T$31,'202'!$T$33,'202'!$T$35,'202'!$T$37,'202'!$T$39:$T$40,'202'!$T$42,'202'!$T$44:$T$45,'202'!$T$47,'202'!$T$49</definedName>
    <definedName name="OSRRefT22x_0" localSheetId="43">'203'!$T$20:$T$28,'203'!$T$30:$T$33,'203'!$T$35,'203'!$T$37,'203'!$T$39,'203'!$T$41:$T$42,'203'!$T$44,'203'!$T$46,'203'!$T$48:$T$51,'203'!$T$53</definedName>
    <definedName name="OSRRefT22x_0" localSheetId="44">'204'!$T$20:$T$28,'204'!$T$30:$T$32,'204'!$T$34,'204'!$T$36,'204'!$T$38:$T$39,'204'!$T$41,'204'!$T$43:$T$44</definedName>
    <definedName name="OSRRefT22x_0" localSheetId="45">'205'!$T$20:$T$27,'205'!$T$29,'205'!$T$31,'205'!$T$33:$T$34,'205'!$T$36</definedName>
    <definedName name="OSRRefT22x_0" localSheetId="46">'206'!$T$20:$T$26,'206'!$T$28:$T$30,'206'!$T$32,'206'!$T$34,'206'!$T$36</definedName>
    <definedName name="OSRRefT22x_0" localSheetId="48">'300'!$T$98:$T$107,'300'!$T$109:$T$115,'300'!$T$117,'300'!$T$119,'300'!$T$121,'300'!$T$123:$T$124,'300'!$T$126:$T$127,'300'!$T$129,'300'!$T$131,'300'!$T$133:$T$134,'300'!$T$136,'300'!$T$138,'300'!$T$140:$T$141,'300'!$T$143,'300'!$T$145:$T$147,'300'!$T$149:$T$151,'300'!$T$153:$T$156,'300'!$T$158:$T$159,'300'!$T$161:$T$166,'300'!$T$168:$T$169,'300'!$T$171,'300'!$T$173:$T$175,'300'!$T$177</definedName>
    <definedName name="OSRRefT22x_0" localSheetId="49">'300 &amp; 317'!$T$118:$T$127,'300 &amp; 317'!$T$129:$T$135,'300 &amp; 317'!$T$137,'300 &amp; 317'!$T$139,'300 &amp; 317'!$T$141,'300 &amp; 317'!$T$143:$T$144,'300 &amp; 317'!$T$146:$T$147,'300 &amp; 317'!$T$149,'300 &amp; 317'!$T$151,'300 &amp; 317'!$T$153:$T$154,'300 &amp; 317'!$T$156,'300 &amp; 317'!$T$158,'300 &amp; 317'!$T$160:$T$161,'300 &amp; 317'!$T$163,'300 &amp; 317'!$T$165:$T$167,'300 &amp; 317'!$T$169:$T$171,'300 &amp; 317'!$T$173:$T$176,'300 &amp; 317'!$T$178:$T$179,'300 &amp; 317'!$T$181:$T$186,'300 &amp; 317'!$T$188:$T$189,'300 &amp; 317'!$T$191,'300 &amp; 317'!$T$193:$T$195,'300 &amp; 317'!$T$197</definedName>
    <definedName name="OSRRefT22x_0" localSheetId="50">'301'!$T$20:$T$29,'301'!$T$31:$T$37,'301'!$T$39,'301'!$T$41,'301'!$T$43:$T$44,'301'!$T$46,'301'!$T$48,'301'!$T$50,'301'!$T$52,'301'!$T$54,'301'!$T$56,'301'!$T$58,'301'!$T$60:$T$62,'301'!$T$64:$T$66,'301'!$T$68:$T$71,'301'!$T$73,'301'!$T$75,'301'!$T$77:$T$78,'301'!$T$80</definedName>
    <definedName name="OSRRefT22x_0" localSheetId="51">'306'!$T$20:$T$23,'306'!$T$25:$T$26,'306'!$T$28,'306'!$T$30</definedName>
    <definedName name="OSRRefT22x_0" localSheetId="53">'307'!$T$21,'307'!$T$23,'307'!$T$25,'307'!$T$27:$T$28,'307'!$T$30,'307'!$T$32</definedName>
    <definedName name="OSRRefT22x_0" localSheetId="54">'308'!$T$49:$T$57,'308'!$T$59:$T$64,'308'!$T$66,'308'!$T$68,'308'!$T$70,'308'!$T$72,'308'!$T$74,'308'!$T$76,'308'!$T$78,'308'!$T$80:$T$81,'308'!$T$83,'308'!$T$85:$T$86,'308'!$T$88:$T$89,'308'!$T$91</definedName>
    <definedName name="OSRRefT22x_0" localSheetId="65">'309'!$T$20,'309'!$T$22,'309'!$T$24:$T$25,'309'!$T$27</definedName>
    <definedName name="OSRRefT22x_0" localSheetId="64">'310'!$T$25:$T$32,'310'!$T$34,'310'!$T$36,'310'!$T$38:$T$39,'310'!$T$41,'310'!$T$43,'310'!$T$45,'310'!$T$47,'310'!$T$49:$T$50,'310'!$T$52:$T$53,'310'!$T$55,'310'!$T$57</definedName>
    <definedName name="OSRRefT22x_0" localSheetId="71">'310 &amp; 491'!$T$29:$T$36,'310 &amp; 491'!$T$38:$T$42,'310 &amp; 491'!$T$44,'310 &amp; 491'!$T$46,'310 &amp; 491'!$T$48,'310 &amp; 491'!$T$50:$T$51,'310 &amp; 491'!$T$53,'310 &amp; 491'!$T$55,'310 &amp; 491'!$T$57,'310 &amp; 491'!$T$59,'310 &amp; 491'!$T$61,'310 &amp; 491'!$T$63:$T$64,'310 &amp; 491'!$T$66:$T$69,'310 &amp; 491'!$T$71,'310 &amp; 491'!$T$73:$T$77,'310 &amp; 491'!$T$79,'310 &amp; 491'!$T$81,'310 &amp; 491'!$T$83</definedName>
    <definedName name="OSRRefT22x_0" localSheetId="55">'311'!$T$49:$T$57,'311'!$T$59:$T$64,'311'!$T$66,'311'!$T$68,'311'!$T$70,'311'!$T$72,'311'!$T$74,'311'!$T$76,'311'!$T$78,'311'!$T$80:$T$81,'311'!$T$83,'311'!$T$85:$T$86,'311'!$T$88:$T$89,'311'!$T$91</definedName>
    <definedName name="OSRRefT22x_0" localSheetId="66">'313'!$T$24:$T$31,'313'!$T$33,'313'!$T$35,'313'!$T$37</definedName>
    <definedName name="OSRRefT22x_0" localSheetId="58">'315'!$T$72:$T$79,'315'!$T$81:$T$85,'315'!$T$87,'315'!$T$89,'315'!$T$91,'315'!$T$93:$T$94,'315'!$T$96:$T$97,'315'!$T$99:$T$100,'315'!$T$102:$T$104,'315'!$T$106,'315'!$T$108</definedName>
    <definedName name="OSRRefT22x_0" localSheetId="61">'316'!$T$27:$T$34,'316'!$T$36:$T$37,'316'!$T$39,'316'!$T$41,'316'!$T$43:$T$44,'316'!$T$46:$T$47,'316'!$T$49,'316'!$T$51:$T$55,'316'!$T$57</definedName>
    <definedName name="OSRRefT22x_0" localSheetId="63">'317'!$T$48:$T$56,'317'!$T$58:$T$60,'317'!$T$62,'317'!$T$64,'317'!$T$66,'317'!$T$68:$T$69,'317'!$T$71,'317'!$T$73,'317'!$T$75:$T$77,'317'!$T$79</definedName>
    <definedName name="OSRRefT22x_0" localSheetId="67">'321'!$T$20:$T$23,'321'!$T$25,'321'!$T$27,'321'!$T$29,'321'!$T$31,'321'!$T$33,'321'!$T$35:$T$36,'321'!$T$38,'321'!$T$40</definedName>
    <definedName name="OSRRefT22x_0" localSheetId="68">'322'!$T$21:$T$25,'322'!$T$27,'322'!$T$29,'322'!$T$31,'322'!$T$33</definedName>
    <definedName name="OSRRefT22x_0" localSheetId="69">'325'!$T$21:$T$25,'325'!$T$27,'325'!$T$29,'325'!$T$31:$T$32,'325'!$T$34,'325'!$T$36,'325'!$T$38,'325'!$T$40,'325'!$T$42,'325'!$T$44</definedName>
    <definedName name="OSRRefT22x_0" localSheetId="59">'326'!$T$39:$T$46,'326'!$T$48:$T$52,'326'!$T$54,'326'!$T$56,'326'!$T$58,'326'!$T$60,'326'!$T$62,'326'!$T$64,'326'!$T$66,'326'!$T$68:$T$69,'326'!$T$71,'326'!$T$73:$T$75,'326'!$T$77,'326'!$T$79,'326'!$T$81</definedName>
    <definedName name="OSRRefT22x_0" localSheetId="52">'330'!$T$31,'330'!$T$33,'330'!$T$35,'330'!$T$37,'330'!$T$39,'330'!$T$41,'330'!$T$43:$T$44,'330'!$T$46,'330'!$T$48</definedName>
    <definedName name="OSRRefT22x_0" localSheetId="57">'331'!$T$72:$T$79,'331'!$T$81:$T$85,'331'!$T$87,'331'!$T$89,'331'!$T$91,'331'!$T$93,'331'!$T$95,'331'!$T$97:$T$98,'331'!$T$100,'331'!$T$102:$T$103,'331'!$T$105,'331'!$T$107:$T$108,'331'!$T$110:$T$111,'331'!$T$113,'331'!$T$115:$T$118,'331'!$T$120,'331'!$T$122,'331'!$T$124</definedName>
    <definedName name="OSRRefT22x_0" localSheetId="60">'332'!$T$29:$T$36,'332'!$T$38:$T$39,'332'!$T$41,'332'!$T$43,'332'!$T$45:$T$46,'332'!$T$48:$T$49,'332'!$T$51,'332'!$T$53:$T$57,'332'!$T$59</definedName>
    <definedName name="OSRRefT22x_0" localSheetId="73">'405'!$T$20:$T$27,'405'!$T$29:$T$30,'405'!$T$32,'405'!$T$34:$T$35,'405'!$T$37,'405'!$T$39,'405'!$T$41,'405'!$T$43,'405'!$T$45,'405'!$T$47</definedName>
    <definedName name="OSRRefT22x_0" localSheetId="74">'406'!$T$20,'406'!$T$22,'406'!$T$24,'406'!$T$26</definedName>
    <definedName name="OSRRefT22x_0" localSheetId="75">'411'!$T$20:$T$27,'411'!$T$29:$T$30,'411'!$T$32,'411'!$T$34:$T$35,'411'!$T$37,'411'!$T$39,'411'!$T$41,'411'!$T$43:$T$44,'411'!$T$46,'411'!$T$48,'411'!$T$50,'411'!$T$52,'411'!$T$54</definedName>
    <definedName name="OSRRefT22x_0" localSheetId="76">'412'!$T$20,'412'!$T$22,'412'!$T$24,'412'!$T$26</definedName>
    <definedName name="OSRRefT22x_0" localSheetId="77">'413'!$T$20:$T$24,'413'!$T$26,'413'!$T$28,'413'!$T$30,'413'!$T$32</definedName>
    <definedName name="OSRRefT22x_0" localSheetId="78">'414'!$T$21,'414'!$T$23</definedName>
    <definedName name="OSRRefT22x_0" localSheetId="79">'415'!$T$24:$T$31,'415'!$T$33:$T$36,'415'!$T$38,'415'!$T$40,'415'!$T$42,'415'!$T$44:$T$45,'415'!$T$47,'415'!$T$49,'415'!$T$51,'415'!$T$53,'415'!$T$55:$T$56,'415'!$T$58:$T$60,'415'!$T$62,'415'!$T$64:$T$68,'415'!$T$70,'415'!$T$72</definedName>
    <definedName name="OSRRefT22x_0" localSheetId="80">'418'!$T$20:$T$27,'418'!$T$29:$T$32,'418'!$T$34,'418'!$T$36,'418'!$T$38:$T$39,'418'!$T$41,'418'!$T$43,'418'!$T$45,'418'!$T$47,'418'!$T$49</definedName>
    <definedName name="OSRRefT22x_0" localSheetId="81">'423'!$T$20:$T$21,'423'!$T$23,'423'!$T$25</definedName>
    <definedName name="OSRRefT22x_0" localSheetId="82">'424'!$T$20,'424'!$T$22,'424'!$T$24</definedName>
    <definedName name="OSRRefT22x_0" localSheetId="83">'425'!$T$21:$T$25,'425'!$T$27,'425'!$T$29,'425'!$T$31</definedName>
    <definedName name="OSRRefT22x_0" localSheetId="86">'430'!$T$20:$T$27,'430'!$T$29,'430'!$T$31,'430'!$T$33,'430'!$T$35,'430'!$T$37</definedName>
    <definedName name="OSRRefT22x_0" localSheetId="87">'433'!$T$25:$T$33,'433'!$T$35:$T$37,'433'!$T$39,'433'!$T$41,'433'!$T$43,'433'!$T$45,'433'!$T$47,'433'!$T$49,'433'!$T$51:$T$53,'433'!$T$55:$T$59,'433'!$T$61</definedName>
    <definedName name="OSRRefT22x_0" localSheetId="88">'435'!$T$20</definedName>
    <definedName name="OSRRefT22x_0" localSheetId="89">'444'!$T$25:$T$33,'444'!$T$35:$T$38,'444'!$T$40,'444'!$T$42,'444'!$T$44,'444'!$T$46,'444'!$T$48,'444'!$T$50,'444'!$T$52:$T$53,'444'!$T$55:$T$57,'444'!$T$59:$T$61,'444'!$T$63</definedName>
    <definedName name="OSRRefT22x_0" localSheetId="90">'450'!$T$20:$T$28,'450'!$T$30:$T$32,'450'!$T$34,'450'!$T$36,'450'!$T$38,'450'!$T$40,'450'!$T$42:$T$43,'450'!$T$45,'450'!$T$47</definedName>
    <definedName name="OSRRefT22x_0" localSheetId="72">'491'!$T$25:$T$32,'491'!$T$34:$T$38,'491'!$T$40,'491'!$T$42,'491'!$T$44,'491'!$T$46:$T$47,'491'!$T$49,'491'!$T$51,'491'!$T$53,'491'!$T$55,'491'!$T$57,'491'!$T$59:$T$60,'491'!$T$62:$T$65,'491'!$T$67,'491'!$T$69:$T$73,'491'!$T$75,'491'!$T$77,'491'!$T$79</definedName>
    <definedName name="OSRRefT22x_0" localSheetId="85">'492'!$T$25:$T$33,'492'!$T$35:$T$39,'492'!$T$41,'492'!$T$43,'492'!$T$45,'492'!$T$47,'492'!$T$49,'492'!$T$51,'492'!$T$53,'492'!$T$55,'492'!$T$57:$T$59,'492'!$T$61:$T$63,'492'!$T$65:$T$69,'492'!$T$71</definedName>
    <definedName name="OSRRefT22x_0" localSheetId="92">'501'!$T$21:$T$28,'501'!$T$30:$T$33,'501'!$T$35,'501'!$T$37,'501'!$T$39,'501'!$T$41,'501'!$T$43,'501'!$T$45</definedName>
    <definedName name="OSRRefT22x_0" localSheetId="39">'Div 2'!$T$20:$T$29,'Div 2'!$T$31:$T$36,'Div 2'!$T$38,'Div 2'!$T$40,'Div 2'!$T$42,'Div 2'!$T$44,'Div 2'!$T$46,'Div 2'!$T$48,'Div 2'!$T$50,'Div 2'!$T$52,'Div 2'!$T$54:$T$55,'Div 2'!$T$57:$T$59,'Div 2'!$T$61,'Div 2'!$T$63,'Div 2'!$T$65:$T$68,'Div 2'!$T$70:$T$71,'Div 2'!$T$73</definedName>
    <definedName name="OSRRefT22x_0" localSheetId="47">'Div 3'!$T$99:$T$108,'Div 3'!$T$110:$T$116,'Div 3'!$T$118,'Div 3'!$T$120,'Div 3'!$T$122,'Div 3'!$T$124:$T$125,'Div 3'!$T$127:$T$128,'Div 3'!$T$130,'Div 3'!$T$132,'Div 3'!$T$134:$T$135,'Div 3'!$T$137,'Div 3'!$T$139,'Div 3'!$T$141,'Div 3'!$T$143:$T$144,'Div 3'!$T$146,'Div 3'!$T$148:$T$150,'Div 3'!$T$152:$T$154,'Div 3'!$T$156:$T$159,'Div 3'!$T$161:$T$162,'Div 3'!$T$164:$T$169,'Div 3'!$T$171:$T$172,'Div 3'!$T$174,'Div 3'!$T$176:$T$178,'Div 3'!$T$180</definedName>
    <definedName name="OSRRefT22x_0" localSheetId="70">'Div 4'!$T$27:$T$35,'Div 4'!$T$37:$T$41,'Div 4'!$T$43,'Div 4'!$T$45,'Div 4'!$T$47,'Div 4'!$T$49:$T$50,'Div 4'!$T$52,'Div 4'!$T$54,'Div 4'!$T$56,'Div 4'!$T$58,'Div 4'!$T$60,'Div 4'!$T$62,'Div 4'!$T$64:$T$66,'Div 4'!$T$68:$T$71,'Div 4'!$T$73,'Div 4'!$T$75:$T$79,'Div 4'!$T$81,'Div 4'!$T$83,'Div 4'!$T$85</definedName>
    <definedName name="OSRRefT22x_0" localSheetId="91">'Div 5'!$T$21:$T$28,'Div 5'!$T$30:$T$33,'Div 5'!$T$35,'Div 5'!$T$37,'Div 5'!$T$39,'Div 5'!$T$41,'Div 5'!$T$43,'Div 5'!$T$45</definedName>
    <definedName name="OSRRefT22x_0" localSheetId="62">'Div 6'!$T$48:$T$56,'Div 6'!$T$58:$T$60,'Div 6'!$T$62,'Div 6'!$T$64,'Div 6'!$T$66,'Div 6'!$T$68:$T$69,'Div 6'!$T$71,'Div 6'!$T$73,'Div 6'!$T$75:$T$77,'Div 6'!$T$79</definedName>
    <definedName name="OSRRefT22x_0" localSheetId="2">Summary!$T$125:$T$134,Summary!$T$136:$T$142,Summary!$T$144,Summary!$T$146,Summary!$T$148,Summary!$T$150:$T$151,Summary!$T$153:$T$154,Summary!$T$156,Summary!$T$158,Summary!$T$160:$T$161,Summary!$T$163,Summary!$T$165,Summary!$T$167,Summary!$T$169:$T$170,Summary!$T$172,Summary!$T$174,Summary!$T$176:$T$178,Summary!$T$180:$T$182,Summary!$T$184:$T$188,Summary!$T$190:$T$191,Summary!$T$193:$T$199,Summary!$T$201:$T$202,Summary!$T$204,Summary!$T$206:$T$208,Summary!$T$210</definedName>
    <definedName name="OSRRefT25x_0" localSheetId="48">'300'!$T$180:$T$182</definedName>
    <definedName name="OSRRefT25x_0" localSheetId="49">'300 &amp; 317'!$T$200:$T$204</definedName>
    <definedName name="OSRRefT25x_0" localSheetId="50">'301'!$T$83</definedName>
    <definedName name="OSRRefT25x_0" localSheetId="54">'308'!$T$94:$T$95</definedName>
    <definedName name="OSRRefT25x_0" localSheetId="71">'310 &amp; 491'!$T$86:$T$88</definedName>
    <definedName name="OSRRefT25x_0" localSheetId="55">'311'!$T$94:$T$95</definedName>
    <definedName name="OSRRefT25x_0" localSheetId="58">'315'!$T$111:$T$112</definedName>
    <definedName name="OSRRefT25x_0" localSheetId="61">'316'!$T$60</definedName>
    <definedName name="OSRRefT25x_0" localSheetId="63">'317'!$T$82:$T$84</definedName>
    <definedName name="OSRRefT25x_0" localSheetId="57">'331'!$T$127:$T$128</definedName>
    <definedName name="OSRRefT25x_0" localSheetId="60">'332'!$T$62:$T$63</definedName>
    <definedName name="OSRRefT25x_0" localSheetId="75">'411'!$T$57</definedName>
    <definedName name="OSRRefT25x_0" localSheetId="79">'415'!$T$75</definedName>
    <definedName name="OSRRefT25x_0" localSheetId="84">'455'!$T$21:$T$22</definedName>
    <definedName name="OSRRefT25x_0" localSheetId="72">'491'!$T$82:$T$84</definedName>
    <definedName name="OSRRefT25x_0" localSheetId="92">'501'!$T$48</definedName>
    <definedName name="OSRRefT25x_0" localSheetId="47">'Div 3'!$T$183:$T$185</definedName>
    <definedName name="OSRRefT25x_0" localSheetId="70">'Div 4'!$T$88:$T$90</definedName>
    <definedName name="OSRRefT25x_0" localSheetId="91">'Div 5'!$T$48</definedName>
    <definedName name="OSRRefT25x_0" localSheetId="62">'Div 6'!$T$82:$T$84</definedName>
    <definedName name="OSRRefT25x_0" localSheetId="2">Summary!$T$213:$T$219</definedName>
    <definedName name="_xlnm.Print_Area" localSheetId="38">'100'!$A$1:$Z$34</definedName>
    <definedName name="_xlnm.Print_Area" localSheetId="40">'200'!$A$1:$Z$38</definedName>
    <definedName name="_xlnm.Print_Area" localSheetId="41">'201'!$A$1:$Z$63</definedName>
    <definedName name="_xlnm.Print_Area" localSheetId="42">'202'!$A$1:$Z$63</definedName>
    <definedName name="_xlnm.Print_Area" localSheetId="43">'203'!$A$1:$Z$67</definedName>
    <definedName name="_xlnm.Print_Area" localSheetId="44">'204'!$A$1:$Z$58</definedName>
    <definedName name="_xlnm.Print_Area" localSheetId="45">'205'!$A$1:$Z$50</definedName>
    <definedName name="_xlnm.Print_Area" localSheetId="46">'206'!$A$1:$Z$50</definedName>
    <definedName name="_xlnm.Print_Area" localSheetId="48">'300'!$A$1:$Z$194</definedName>
    <definedName name="_xlnm.Print_Area" localSheetId="49">'300 &amp; 317'!$A$1:$Z$216</definedName>
    <definedName name="_xlnm.Print_Area" localSheetId="50">'301'!$A$1:$Z$95</definedName>
    <definedName name="_xlnm.Print_Area" localSheetId="51">'306'!$A$1:$Z$44</definedName>
    <definedName name="_xlnm.Print_Area" localSheetId="53">'307'!$A$1:$Z$46</definedName>
    <definedName name="_xlnm.Print_Area" localSheetId="54">'308'!$A$1:$Z$107</definedName>
    <definedName name="_xlnm.Print_Area" localSheetId="65">'309'!$A$1:$Z$41</definedName>
    <definedName name="_xlnm.Print_Area" localSheetId="64">'310'!$A$1:$Z$71</definedName>
    <definedName name="_xlnm.Print_Area" localSheetId="71">'310 &amp; 491'!$A$1:$Z$100</definedName>
    <definedName name="_xlnm.Print_Area" localSheetId="55">'311'!$A$1:$Z$107</definedName>
    <definedName name="_xlnm.Print_Area" localSheetId="66">'313'!$A$1:$Z$51</definedName>
    <definedName name="_xlnm.Print_Area" localSheetId="58">'315'!$A$1:$Z$124</definedName>
    <definedName name="_xlnm.Print_Area" localSheetId="61">'316'!$A$1:$Z$72</definedName>
    <definedName name="_xlnm.Print_Area" localSheetId="63">'317'!$A$1:$Z$96</definedName>
    <definedName name="_xlnm.Print_Area" localSheetId="67">'321'!$A$1:$Z$54</definedName>
    <definedName name="_xlnm.Print_Area" localSheetId="68">'322'!$A$1:$Z$47</definedName>
    <definedName name="_xlnm.Print_Area" localSheetId="56">'324'!$A$1:$Z$39</definedName>
    <definedName name="_xlnm.Print_Area" localSheetId="69">'325'!$A$1:$Z$58</definedName>
    <definedName name="_xlnm.Print_Area" localSheetId="59">'326'!$A$1:$Z$95</definedName>
    <definedName name="_xlnm.Print_Area" localSheetId="52">'330'!$A$1:$Z$62</definedName>
    <definedName name="_xlnm.Print_Area" localSheetId="57">'331'!$A$1:$Z$140</definedName>
    <definedName name="_xlnm.Print_Area" localSheetId="60">'332'!$A$1:$Z$75</definedName>
    <definedName name="_xlnm.Print_Area" localSheetId="73">'405'!$A$1:$Z$61</definedName>
    <definedName name="_xlnm.Print_Area" localSheetId="74">'406'!$A$1:$Z$40</definedName>
    <definedName name="_xlnm.Print_Area" localSheetId="75">'411'!$A$1:$Z$69</definedName>
    <definedName name="_xlnm.Print_Area" localSheetId="76">'412'!$A$1:$Z$40</definedName>
    <definedName name="_xlnm.Print_Area" localSheetId="77">'413'!$A$1:$Z$46</definedName>
    <definedName name="_xlnm.Print_Area" localSheetId="78">'414'!$A$1:$Z$37</definedName>
    <definedName name="_xlnm.Print_Area" localSheetId="79">'415'!$A$1:$Z$87</definedName>
    <definedName name="_xlnm.Print_Area" localSheetId="80">'418'!$A$1:$Z$63</definedName>
    <definedName name="_xlnm.Print_Area" localSheetId="81">'423'!$A$1:$Z$39</definedName>
    <definedName name="_xlnm.Print_Area" localSheetId="82">'424'!$A$1:$Z$38</definedName>
    <definedName name="_xlnm.Print_Area" localSheetId="83">'425'!$A$1:$Z$45</definedName>
    <definedName name="_xlnm.Print_Area" localSheetId="86">'430'!$A$1:$Z$51</definedName>
    <definedName name="_xlnm.Print_Area" localSheetId="87">'433'!$A$1:$Z$75</definedName>
    <definedName name="_xlnm.Print_Area" localSheetId="88">'435'!$A$1:$Z$34</definedName>
    <definedName name="_xlnm.Print_Area" localSheetId="89">'444'!$A$1:$Z$77</definedName>
    <definedName name="_xlnm.Print_Area" localSheetId="90">'450'!$A$1:$Z$61</definedName>
    <definedName name="_xlnm.Print_Area" localSheetId="84">'455'!$A$1:$Z$34</definedName>
    <definedName name="_xlnm.Print_Area" localSheetId="72">'491'!$A$1:$Z$96</definedName>
    <definedName name="_xlnm.Print_Area" localSheetId="85">'492'!$A$1:$Z$85</definedName>
    <definedName name="_xlnm.Print_Area" localSheetId="92">'501'!$A$1:$Z$60</definedName>
    <definedName name="_xlnm.Print_Area" localSheetId="93">Dept!$A$1:$Z$39</definedName>
    <definedName name="_xlnm.Print_Area" localSheetId="37">'Div 1'!$A$1:$Z$34</definedName>
    <definedName name="_xlnm.Print_Area" localSheetId="39">'Div 2'!$A$1:$Z$87</definedName>
    <definedName name="_xlnm.Print_Area" localSheetId="47">'Div 3'!$A$1:$Z$197</definedName>
    <definedName name="_xlnm.Print_Area" localSheetId="70">'Div 4'!$A$1:$Z$102</definedName>
    <definedName name="_xlnm.Print_Area" localSheetId="91">'Div 5'!$A$1:$Z$60</definedName>
    <definedName name="_xlnm.Print_Area" localSheetId="62">'Div 6'!$A$1:$Z$96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4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5">'OSR_Summary (...56e5d78f_5JEYZH'!$A$1:$Z$39</definedName>
    <definedName name="_xlnm.Print_Area" localSheetId="3">OSR_Summary_18VAVWG!$A$1:$Z$39</definedName>
    <definedName name="_xlnm.Print_Area" localSheetId="2">Summary!$A$1:$Z$233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1">'310 &amp; 491'!$A:$C,'310 &amp; 491'!$1:$10</definedName>
    <definedName name="_xlnm.Print_Titles" localSheetId="55">'311'!$A:$C,'311'!$1:$10</definedName>
    <definedName name="_xlnm.Print_Titles" localSheetId="66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6">'324'!$A:$C,'324'!$1:$10</definedName>
    <definedName name="_xlnm.Print_Titles" localSheetId="69">'325'!$A:$C,'325'!$1:$10</definedName>
    <definedName name="_xlnm.Print_Titles" localSheetId="59">'326'!$A:$C,'326'!$1:$10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'423'!$A:$C,'423'!$1:$10</definedName>
    <definedName name="_xlnm.Print_Titles" localSheetId="82">'424'!$A:$C,'424'!$1:$10</definedName>
    <definedName name="_xlnm.Print_Titles" localSheetId="83">'425'!$A:$C,'425'!$1:$10</definedName>
    <definedName name="_xlnm.Print_Titles" localSheetId="86">'430'!$A:$C,'430'!$1:$10</definedName>
    <definedName name="_xlnm.Print_Titles" localSheetId="87">'433'!$A:$C,'433'!$1:$10</definedName>
    <definedName name="_xlnm.Print_Titles" localSheetId="88">'435'!$A:$C,'435'!$1:$10</definedName>
    <definedName name="_xlnm.Print_Titles" localSheetId="89">'444'!$A:$C,'444'!$1:$10</definedName>
    <definedName name="_xlnm.Print_Titles" localSheetId="90">'450'!$A:$C,'450'!$1:$10</definedName>
    <definedName name="_xlnm.Print_Titles" localSheetId="84">'455'!$A:$C,'455'!$1:$10</definedName>
    <definedName name="_xlnm.Print_Titles" localSheetId="72">'491'!$A:$C,'491'!$1:$10</definedName>
    <definedName name="_xlnm.Print_Titles" localSheetId="85">'492'!$A:$C,'492'!$1:$10</definedName>
    <definedName name="_xlnm.Print_Titles" localSheetId="92">'501'!$A:$C,'501'!$1:$10</definedName>
    <definedName name="_xlnm.Print_Titles" localSheetId="93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1">'Div 5'!$A:$C,'Div 5'!$1:$10</definedName>
    <definedName name="_xlnm.Print_Titles" localSheetId="62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4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5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8" l="1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D21" i="98"/>
  <c r="B21" i="98"/>
  <c r="T20" i="98"/>
  <c r="Z20" i="98" s="1"/>
  <c r="P20" i="98"/>
  <c r="H20" i="98"/>
  <c r="N20" i="98" s="1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34" i="98" s="1"/>
  <c r="P12" i="98"/>
  <c r="R34" i="98" s="1"/>
  <c r="H12" i="98"/>
  <c r="J16" i="98" s="1"/>
  <c r="D12" i="98"/>
  <c r="F15" i="98" s="1"/>
  <c r="D6" i="98"/>
  <c r="D5" i="98"/>
  <c r="D4" i="98"/>
  <c r="B39" i="97"/>
  <c r="B38" i="97"/>
  <c r="T34" i="97"/>
  <c r="Z34" i="97" s="1"/>
  <c r="P34" i="97"/>
  <c r="H34" i="97"/>
  <c r="D34" i="97"/>
  <c r="T33" i="97"/>
  <c r="Z33" i="97" s="1"/>
  <c r="P33" i="97"/>
  <c r="H33" i="97"/>
  <c r="N33" i="97" s="1"/>
  <c r="D33" i="97"/>
  <c r="T29" i="97"/>
  <c r="Z29" i="97" s="1"/>
  <c r="P29" i="97"/>
  <c r="H29" i="97"/>
  <c r="N29" i="97" s="1"/>
  <c r="D29" i="97"/>
  <c r="T25" i="97"/>
  <c r="Z25" i="97" s="1"/>
  <c r="P25" i="97"/>
  <c r="H25" i="97"/>
  <c r="N25" i="97" s="1"/>
  <c r="D25" i="97"/>
  <c r="B25" i="97"/>
  <c r="T24" i="97"/>
  <c r="Z24" i="97" s="1"/>
  <c r="P24" i="97"/>
  <c r="H24" i="97"/>
  <c r="N24" i="97" s="1"/>
  <c r="D24" i="97"/>
  <c r="T22" i="97"/>
  <c r="P22" i="97"/>
  <c r="H22" i="97"/>
  <c r="N22" i="97" s="1"/>
  <c r="D22" i="97"/>
  <c r="B22" i="97"/>
  <c r="T21" i="97"/>
  <c r="Z21" i="97" s="1"/>
  <c r="P21" i="97"/>
  <c r="H21" i="97"/>
  <c r="N21" i="97" s="1"/>
  <c r="D21" i="97"/>
  <c r="B21" i="97"/>
  <c r="T20" i="97"/>
  <c r="Z20" i="97" s="1"/>
  <c r="P20" i="97"/>
  <c r="H20" i="97"/>
  <c r="D20" i="97"/>
  <c r="T16" i="97"/>
  <c r="Z16" i="97" s="1"/>
  <c r="P16" i="97"/>
  <c r="H16" i="97"/>
  <c r="N16" i="97" s="1"/>
  <c r="D16" i="97"/>
  <c r="B16" i="97"/>
  <c r="T15" i="97"/>
  <c r="Z15" i="97" s="1"/>
  <c r="P15" i="97"/>
  <c r="H15" i="97"/>
  <c r="N15" i="97" s="1"/>
  <c r="D15" i="97"/>
  <c r="T13" i="97"/>
  <c r="Z13" i="97" s="1"/>
  <c r="P13" i="97"/>
  <c r="H13" i="97"/>
  <c r="N13" i="97" s="1"/>
  <c r="D13" i="97"/>
  <c r="B13" i="97"/>
  <c r="T12" i="97"/>
  <c r="P12" i="97"/>
  <c r="H12" i="97"/>
  <c r="J34" i="97" s="1"/>
  <c r="D12" i="97"/>
  <c r="F34" i="97" s="1"/>
  <c r="D6" i="97"/>
  <c r="D5" i="97"/>
  <c r="D4" i="97"/>
  <c r="B39" i="96"/>
  <c r="B38" i="96"/>
  <c r="T34" i="96"/>
  <c r="Z34" i="96" s="1"/>
  <c r="P34" i="96"/>
  <c r="H34" i="96"/>
  <c r="N34" i="96" s="1"/>
  <c r="D34" i="96"/>
  <c r="T33" i="96"/>
  <c r="Z33" i="96" s="1"/>
  <c r="P33" i="96"/>
  <c r="H33" i="96"/>
  <c r="N33" i="96" s="1"/>
  <c r="D33" i="96"/>
  <c r="T29" i="96"/>
  <c r="Z29" i="96" s="1"/>
  <c r="P29" i="96"/>
  <c r="H29" i="96"/>
  <c r="N29" i="96" s="1"/>
  <c r="D29" i="96"/>
  <c r="T25" i="96"/>
  <c r="Z25" i="96" s="1"/>
  <c r="P25" i="96"/>
  <c r="H25" i="96"/>
  <c r="N25" i="96" s="1"/>
  <c r="D25" i="96"/>
  <c r="B25" i="96"/>
  <c r="T24" i="96"/>
  <c r="Z24" i="96" s="1"/>
  <c r="P24" i="96"/>
  <c r="H24" i="96"/>
  <c r="N24" i="96" s="1"/>
  <c r="D24" i="96"/>
  <c r="T22" i="96"/>
  <c r="Z22" i="96" s="1"/>
  <c r="P22" i="96"/>
  <c r="H22" i="96"/>
  <c r="N22" i="96" s="1"/>
  <c r="D22" i="96"/>
  <c r="B22" i="96"/>
  <c r="T21" i="96"/>
  <c r="Z21" i="96" s="1"/>
  <c r="P21" i="96"/>
  <c r="H21" i="96"/>
  <c r="N21" i="96" s="1"/>
  <c r="D21" i="96"/>
  <c r="B21" i="96"/>
  <c r="T20" i="96"/>
  <c r="Z20" i="96" s="1"/>
  <c r="P20" i="96"/>
  <c r="H20" i="96"/>
  <c r="N20" i="96" s="1"/>
  <c r="D20" i="96"/>
  <c r="T16" i="96"/>
  <c r="Z16" i="96" s="1"/>
  <c r="P16" i="96"/>
  <c r="H16" i="96"/>
  <c r="N16" i="96" s="1"/>
  <c r="D16" i="96"/>
  <c r="B16" i="96"/>
  <c r="T15" i="96"/>
  <c r="Z15" i="96" s="1"/>
  <c r="P15" i="96"/>
  <c r="H15" i="96"/>
  <c r="N15" i="96" s="1"/>
  <c r="D15" i="96"/>
  <c r="T13" i="96"/>
  <c r="Z13" i="96" s="1"/>
  <c r="P13" i="96"/>
  <c r="H13" i="96"/>
  <c r="N13" i="96" s="1"/>
  <c r="D13" i="96"/>
  <c r="B13" i="96"/>
  <c r="T12" i="96"/>
  <c r="V27" i="96" s="1"/>
  <c r="P12" i="96"/>
  <c r="R27" i="96" s="1"/>
  <c r="H12" i="96"/>
  <c r="D12" i="96"/>
  <c r="F36" i="96" s="1"/>
  <c r="D6" i="96"/>
  <c r="D5" i="96"/>
  <c r="D4" i="96"/>
  <c r="Z52" i="95"/>
  <c r="X52" i="95"/>
  <c r="L52" i="95"/>
  <c r="N52" i="95" s="1"/>
  <c r="V48" i="95"/>
  <c r="T48" i="95"/>
  <c r="P48" i="95"/>
  <c r="X48" i="95" s="1"/>
  <c r="H48" i="95"/>
  <c r="D48" i="95"/>
  <c r="B48" i="95"/>
  <c r="H47" i="95"/>
  <c r="X45" i="95"/>
  <c r="Z45" i="95" s="1"/>
  <c r="N45" i="95"/>
  <c r="L45" i="95"/>
  <c r="B45" i="95"/>
  <c r="T44" i="95"/>
  <c r="P44" i="95"/>
  <c r="H44" i="95"/>
  <c r="D44" i="95"/>
  <c r="L44" i="95" s="1"/>
  <c r="B44" i="95"/>
  <c r="Z43" i="95"/>
  <c r="X43" i="95"/>
  <c r="L43" i="95"/>
  <c r="N43" i="95" s="1"/>
  <c r="B43" i="95"/>
  <c r="T42" i="95"/>
  <c r="P42" i="95"/>
  <c r="X42" i="95" s="1"/>
  <c r="H42" i="95"/>
  <c r="D42" i="95"/>
  <c r="L42" i="95" s="1"/>
  <c r="N42" i="95" s="1"/>
  <c r="B42" i="95"/>
  <c r="Z41" i="95"/>
  <c r="X41" i="95"/>
  <c r="V41" i="95"/>
  <c r="N41" i="95"/>
  <c r="L41" i="95"/>
  <c r="B41" i="95"/>
  <c r="X40" i="95"/>
  <c r="T40" i="95"/>
  <c r="Z40" i="95" s="1"/>
  <c r="P40" i="95"/>
  <c r="H40" i="95"/>
  <c r="N40" i="95" s="1"/>
  <c r="D40" i="95"/>
  <c r="B40" i="95"/>
  <c r="X39" i="95"/>
  <c r="Z39" i="95" s="1"/>
  <c r="N39" i="95"/>
  <c r="L39" i="95"/>
  <c r="B39" i="95"/>
  <c r="T38" i="95"/>
  <c r="P38" i="95"/>
  <c r="H38" i="95"/>
  <c r="D38" i="95"/>
  <c r="L38" i="95" s="1"/>
  <c r="B38" i="95"/>
  <c r="X37" i="95"/>
  <c r="Z37" i="95" s="1"/>
  <c r="N37" i="95"/>
  <c r="L37" i="95"/>
  <c r="B37" i="95"/>
  <c r="X36" i="95"/>
  <c r="Z36" i="95" s="1"/>
  <c r="T36" i="95"/>
  <c r="P36" i="95"/>
  <c r="H36" i="95"/>
  <c r="D36" i="95"/>
  <c r="L36" i="95" s="1"/>
  <c r="B36" i="95"/>
  <c r="Z35" i="95"/>
  <c r="X35" i="95"/>
  <c r="N35" i="95"/>
  <c r="L35" i="95"/>
  <c r="J35" i="95"/>
  <c r="B35" i="95"/>
  <c r="T34" i="95"/>
  <c r="P34" i="95"/>
  <c r="X34" i="95" s="1"/>
  <c r="H34" i="95"/>
  <c r="D34" i="95"/>
  <c r="B34" i="95"/>
  <c r="Z33" i="95"/>
  <c r="X33" i="95"/>
  <c r="L33" i="95"/>
  <c r="N33" i="95" s="1"/>
  <c r="B33" i="95"/>
  <c r="X32" i="95"/>
  <c r="Z32" i="95" s="1"/>
  <c r="N32" i="95"/>
  <c r="L32" i="95"/>
  <c r="B32" i="95"/>
  <c r="Z31" i="95"/>
  <c r="X31" i="95"/>
  <c r="L31" i="95"/>
  <c r="N31" i="95" s="1"/>
  <c r="B31" i="95"/>
  <c r="X30" i="95"/>
  <c r="Z30" i="95" s="1"/>
  <c r="L30" i="95"/>
  <c r="N30" i="95" s="1"/>
  <c r="B30" i="95"/>
  <c r="Z29" i="95"/>
  <c r="X29" i="95"/>
  <c r="T29" i="95"/>
  <c r="R29" i="95"/>
  <c r="P29" i="95"/>
  <c r="H29" i="95"/>
  <c r="D29" i="95"/>
  <c r="B29" i="95"/>
  <c r="Z28" i="95"/>
  <c r="X28" i="95"/>
  <c r="L28" i="95"/>
  <c r="N28" i="95" s="1"/>
  <c r="B28" i="95"/>
  <c r="Z27" i="95"/>
  <c r="X27" i="95"/>
  <c r="N27" i="95"/>
  <c r="L27" i="95"/>
  <c r="B27" i="95"/>
  <c r="X26" i="95"/>
  <c r="Z26" i="95" s="1"/>
  <c r="N26" i="95"/>
  <c r="L26" i="95"/>
  <c r="B26" i="95"/>
  <c r="Z25" i="95"/>
  <c r="X25" i="95"/>
  <c r="N25" i="95"/>
  <c r="L25" i="95"/>
  <c r="B25" i="95"/>
  <c r="Z24" i="95"/>
  <c r="X24" i="95"/>
  <c r="N24" i="95"/>
  <c r="L24" i="95"/>
  <c r="B24" i="95"/>
  <c r="Z23" i="95"/>
  <c r="X23" i="95"/>
  <c r="N23" i="95"/>
  <c r="L23" i="95"/>
  <c r="B23" i="95"/>
  <c r="X22" i="95"/>
  <c r="Z22" i="95" s="1"/>
  <c r="L22" i="95"/>
  <c r="N22" i="95" s="1"/>
  <c r="B22" i="95"/>
  <c r="X21" i="95"/>
  <c r="Z21" i="95" s="1"/>
  <c r="N21" i="95"/>
  <c r="L21" i="95"/>
  <c r="B21" i="95"/>
  <c r="T20" i="95"/>
  <c r="Z20" i="95" s="1"/>
  <c r="P20" i="95"/>
  <c r="X20" i="95" s="1"/>
  <c r="L20" i="95"/>
  <c r="N20" i="95" s="1"/>
  <c r="H20" i="95"/>
  <c r="D20" i="95"/>
  <c r="B20" i="95"/>
  <c r="T19" i="95"/>
  <c r="P19" i="95"/>
  <c r="H19" i="95"/>
  <c r="N19" i="95" s="1"/>
  <c r="D19" i="95"/>
  <c r="L19" i="95" s="1"/>
  <c r="T15" i="95"/>
  <c r="Z15" i="95" s="1"/>
  <c r="P15" i="95"/>
  <c r="H15" i="95"/>
  <c r="N15" i="95" s="1"/>
  <c r="D15" i="95"/>
  <c r="L15" i="95" s="1"/>
  <c r="X13" i="95"/>
  <c r="Z13" i="95" s="1"/>
  <c r="T13" i="95"/>
  <c r="P13" i="95"/>
  <c r="P12" i="95" s="1"/>
  <c r="H13" i="95"/>
  <c r="D13" i="95"/>
  <c r="B13" i="95"/>
  <c r="T12" i="95"/>
  <c r="V42" i="95" s="1"/>
  <c r="H12" i="95"/>
  <c r="J32" i="95" s="1"/>
  <c r="D6" i="95"/>
  <c r="D4" i="95"/>
  <c r="V31" i="94"/>
  <c r="R31" i="94"/>
  <c r="F31" i="94"/>
  <c r="V28" i="94"/>
  <c r="F28" i="94"/>
  <c r="Z26" i="94"/>
  <c r="X26" i="94"/>
  <c r="V26" i="94"/>
  <c r="N26" i="94"/>
  <c r="L26" i="94"/>
  <c r="F26" i="94"/>
  <c r="V24" i="94"/>
  <c r="R24" i="94"/>
  <c r="F24" i="94"/>
  <c r="V22" i="94"/>
  <c r="T22" i="94"/>
  <c r="X22" i="94" s="1"/>
  <c r="Z22" i="94" s="1"/>
  <c r="P22" i="94"/>
  <c r="H22" i="94"/>
  <c r="F22" i="94"/>
  <c r="D22" i="94"/>
  <c r="L22" i="94" s="1"/>
  <c r="N22" i="94" s="1"/>
  <c r="B22" i="94"/>
  <c r="T21" i="94"/>
  <c r="P21" i="94"/>
  <c r="X21" i="94" s="1"/>
  <c r="H21" i="94"/>
  <c r="D21" i="94"/>
  <c r="B21" i="94"/>
  <c r="R20" i="94"/>
  <c r="F20" i="94"/>
  <c r="Z18" i="94"/>
  <c r="V18" i="94"/>
  <c r="T18" i="94"/>
  <c r="R18" i="94"/>
  <c r="P18" i="94"/>
  <c r="X18" i="94" s="1"/>
  <c r="N18" i="94"/>
  <c r="H18" i="94"/>
  <c r="F18" i="94"/>
  <c r="D18" i="94"/>
  <c r="L18" i="94" s="1"/>
  <c r="R16" i="94"/>
  <c r="F16" i="94"/>
  <c r="Z14" i="94"/>
  <c r="V14" i="94"/>
  <c r="T14" i="94"/>
  <c r="R14" i="94"/>
  <c r="P14" i="94"/>
  <c r="X14" i="94" s="1"/>
  <c r="N14" i="94"/>
  <c r="H14" i="94"/>
  <c r="F14" i="94"/>
  <c r="D14" i="94"/>
  <c r="L14" i="94" s="1"/>
  <c r="Z12" i="94"/>
  <c r="X12" i="94"/>
  <c r="T12" i="94"/>
  <c r="V20" i="94" s="1"/>
  <c r="P12" i="94"/>
  <c r="R21" i="94" s="1"/>
  <c r="H12" i="94"/>
  <c r="D12" i="94"/>
  <c r="D16" i="94" s="1"/>
  <c r="D6" i="94"/>
  <c r="D4" i="94"/>
  <c r="R58" i="93"/>
  <c r="J55" i="93"/>
  <c r="Z53" i="93"/>
  <c r="X53" i="93"/>
  <c r="N53" i="93"/>
  <c r="L53" i="93"/>
  <c r="R51" i="93"/>
  <c r="Z49" i="93"/>
  <c r="T49" i="93"/>
  <c r="P49" i="93"/>
  <c r="X49" i="93" s="1"/>
  <c r="N49" i="93"/>
  <c r="J49" i="93"/>
  <c r="H49" i="93"/>
  <c r="D49" i="93"/>
  <c r="L49" i="93" s="1"/>
  <c r="Z47" i="93"/>
  <c r="X47" i="93"/>
  <c r="N47" i="93"/>
  <c r="L47" i="93"/>
  <c r="B47" i="93"/>
  <c r="T46" i="93"/>
  <c r="P46" i="93"/>
  <c r="H46" i="93"/>
  <c r="N46" i="93" s="1"/>
  <c r="D46" i="93"/>
  <c r="L46" i="93" s="1"/>
  <c r="B46" i="93"/>
  <c r="Z45" i="93"/>
  <c r="X45" i="93"/>
  <c r="N45" i="93"/>
  <c r="L45" i="93"/>
  <c r="J45" i="93"/>
  <c r="B45" i="93"/>
  <c r="T44" i="93"/>
  <c r="Z44" i="93" s="1"/>
  <c r="P44" i="93"/>
  <c r="X44" i="93" s="1"/>
  <c r="L44" i="93"/>
  <c r="H44" i="93"/>
  <c r="N44" i="93" s="1"/>
  <c r="D44" i="93"/>
  <c r="B44" i="93"/>
  <c r="Z43" i="93"/>
  <c r="X43" i="93"/>
  <c r="N43" i="93"/>
  <c r="L43" i="93"/>
  <c r="B43" i="93"/>
  <c r="X42" i="93"/>
  <c r="Z42" i="93" s="1"/>
  <c r="L42" i="93"/>
  <c r="N42" i="93" s="1"/>
  <c r="F42" i="93"/>
  <c r="B42" i="93"/>
  <c r="Z41" i="93"/>
  <c r="X41" i="93"/>
  <c r="T41" i="93"/>
  <c r="P41" i="93"/>
  <c r="J41" i="93"/>
  <c r="H41" i="93"/>
  <c r="L41" i="93" s="1"/>
  <c r="N41" i="93" s="1"/>
  <c r="D41" i="93"/>
  <c r="B41" i="93"/>
  <c r="X40" i="93"/>
  <c r="Z40" i="93" s="1"/>
  <c r="R40" i="93"/>
  <c r="N40" i="93"/>
  <c r="L40" i="93"/>
  <c r="B40" i="93"/>
  <c r="Z39" i="93"/>
  <c r="T39" i="93"/>
  <c r="X39" i="93" s="1"/>
  <c r="P39" i="93"/>
  <c r="J39" i="93"/>
  <c r="H39" i="93"/>
  <c r="D39" i="93"/>
  <c r="L39" i="93" s="1"/>
  <c r="N39" i="93" s="1"/>
  <c r="B39" i="93"/>
  <c r="X38" i="93"/>
  <c r="Z38" i="93" s="1"/>
  <c r="R38" i="93"/>
  <c r="L38" i="93"/>
  <c r="N38" i="93" s="1"/>
  <c r="B38" i="93"/>
  <c r="V37" i="93"/>
  <c r="T37" i="93"/>
  <c r="R37" i="93"/>
  <c r="P37" i="93"/>
  <c r="X37" i="93" s="1"/>
  <c r="Z37" i="93" s="1"/>
  <c r="L37" i="93"/>
  <c r="N37" i="93" s="1"/>
  <c r="H37" i="93"/>
  <c r="D37" i="93"/>
  <c r="B37" i="93"/>
  <c r="Z36" i="93"/>
  <c r="X36" i="93"/>
  <c r="L36" i="93"/>
  <c r="N36" i="93" s="1"/>
  <c r="B36" i="93"/>
  <c r="X35" i="93"/>
  <c r="Z35" i="93" s="1"/>
  <c r="T35" i="93"/>
  <c r="R35" i="93"/>
  <c r="P35" i="93"/>
  <c r="N35" i="93"/>
  <c r="L35" i="93"/>
  <c r="H35" i="93"/>
  <c r="D35" i="93"/>
  <c r="B35" i="93"/>
  <c r="Z34" i="93"/>
  <c r="X34" i="93"/>
  <c r="N34" i="93"/>
  <c r="L34" i="93"/>
  <c r="F34" i="93"/>
  <c r="B34" i="93"/>
  <c r="Z33" i="93"/>
  <c r="X33" i="93"/>
  <c r="T33" i="93"/>
  <c r="P33" i="93"/>
  <c r="N33" i="93"/>
  <c r="J33" i="93"/>
  <c r="H33" i="93"/>
  <c r="D33" i="93"/>
  <c r="L33" i="93" s="1"/>
  <c r="B33" i="93"/>
  <c r="X32" i="93"/>
  <c r="Z32" i="93" s="1"/>
  <c r="R32" i="93"/>
  <c r="N32" i="93"/>
  <c r="L32" i="93"/>
  <c r="B32" i="93"/>
  <c r="Z31" i="93"/>
  <c r="X31" i="93"/>
  <c r="V31" i="93"/>
  <c r="L31" i="93"/>
  <c r="N31" i="93" s="1"/>
  <c r="J31" i="93"/>
  <c r="B31" i="93"/>
  <c r="X30" i="93"/>
  <c r="Z30" i="93" s="1"/>
  <c r="L30" i="93"/>
  <c r="N30" i="93" s="1"/>
  <c r="F30" i="93"/>
  <c r="B30" i="93"/>
  <c r="Z29" i="93"/>
  <c r="X29" i="93"/>
  <c r="T29" i="93"/>
  <c r="R29" i="93"/>
  <c r="P29" i="93"/>
  <c r="J29" i="93"/>
  <c r="H29" i="93"/>
  <c r="D29" i="93"/>
  <c r="L29" i="93" s="1"/>
  <c r="N29" i="93" s="1"/>
  <c r="B29" i="93"/>
  <c r="X28" i="93"/>
  <c r="Z28" i="93" s="1"/>
  <c r="R28" i="93"/>
  <c r="N28" i="93"/>
  <c r="L28" i="93"/>
  <c r="B28" i="93"/>
  <c r="Z27" i="93"/>
  <c r="X27" i="93"/>
  <c r="V27" i="93"/>
  <c r="L27" i="93"/>
  <c r="N27" i="93" s="1"/>
  <c r="J27" i="93"/>
  <c r="B27" i="93"/>
  <c r="X26" i="93"/>
  <c r="Z26" i="93" s="1"/>
  <c r="L26" i="93"/>
  <c r="N26" i="93" s="1"/>
  <c r="F26" i="93"/>
  <c r="B26" i="93"/>
  <c r="Z25" i="93"/>
  <c r="X25" i="93"/>
  <c r="N25" i="93"/>
  <c r="L25" i="93"/>
  <c r="J25" i="93"/>
  <c r="B25" i="93"/>
  <c r="Z24" i="93"/>
  <c r="X24" i="93"/>
  <c r="R24" i="93"/>
  <c r="L24" i="93"/>
  <c r="N24" i="93" s="1"/>
  <c r="F24" i="93"/>
  <c r="B24" i="93"/>
  <c r="X23" i="93"/>
  <c r="Z23" i="93" s="1"/>
  <c r="V23" i="93"/>
  <c r="N23" i="93"/>
  <c r="L23" i="93"/>
  <c r="J23" i="93"/>
  <c r="B23" i="93"/>
  <c r="X22" i="93"/>
  <c r="Z22" i="93" s="1"/>
  <c r="R22" i="93"/>
  <c r="L22" i="93"/>
  <c r="N22" i="93" s="1"/>
  <c r="B22" i="93"/>
  <c r="Z21" i="93"/>
  <c r="X21" i="93"/>
  <c r="V21" i="93"/>
  <c r="N21" i="93"/>
  <c r="L21" i="93"/>
  <c r="B21" i="93"/>
  <c r="X20" i="93"/>
  <c r="Z20" i="93" s="1"/>
  <c r="R20" i="93"/>
  <c r="N20" i="93"/>
  <c r="L20" i="93"/>
  <c r="F20" i="93"/>
  <c r="B20" i="93"/>
  <c r="V19" i="93"/>
  <c r="T19" i="93"/>
  <c r="P19" i="93"/>
  <c r="X19" i="93" s="1"/>
  <c r="Z19" i="93" s="1"/>
  <c r="J19" i="93"/>
  <c r="H19" i="93"/>
  <c r="D19" i="93"/>
  <c r="L19" i="93" s="1"/>
  <c r="N19" i="93" s="1"/>
  <c r="B19" i="93"/>
  <c r="T18" i="93"/>
  <c r="P18" i="93"/>
  <c r="X18" i="93" s="1"/>
  <c r="H18" i="93"/>
  <c r="D18" i="93"/>
  <c r="L18" i="93" s="1"/>
  <c r="P16" i="93"/>
  <c r="P51" i="93" s="1"/>
  <c r="H16" i="93"/>
  <c r="X14" i="93"/>
  <c r="T14" i="93"/>
  <c r="Z14" i="93" s="1"/>
  <c r="P14" i="93"/>
  <c r="J14" i="93"/>
  <c r="H14" i="93"/>
  <c r="N14" i="93" s="1"/>
  <c r="D14" i="93"/>
  <c r="L14" i="93" s="1"/>
  <c r="X12" i="93"/>
  <c r="T12" i="93"/>
  <c r="V40" i="93" s="1"/>
  <c r="P12" i="93"/>
  <c r="R46" i="93" s="1"/>
  <c r="N12" i="93"/>
  <c r="L12" i="93"/>
  <c r="H12" i="93"/>
  <c r="J36" i="93" s="1"/>
  <c r="D12" i="93"/>
  <c r="D6" i="93"/>
  <c r="D4" i="93"/>
  <c r="Z69" i="92"/>
  <c r="X69" i="92"/>
  <c r="N69" i="92"/>
  <c r="L69" i="92"/>
  <c r="Z65" i="92"/>
  <c r="X65" i="92"/>
  <c r="T65" i="92"/>
  <c r="P65" i="92"/>
  <c r="H65" i="92"/>
  <c r="N65" i="92" s="1"/>
  <c r="D65" i="92"/>
  <c r="L65" i="92" s="1"/>
  <c r="X63" i="92"/>
  <c r="Z63" i="92" s="1"/>
  <c r="L63" i="92"/>
  <c r="N63" i="92" s="1"/>
  <c r="B63" i="92"/>
  <c r="T62" i="92"/>
  <c r="P62" i="92"/>
  <c r="X62" i="92" s="1"/>
  <c r="L62" i="92"/>
  <c r="H62" i="92"/>
  <c r="N62" i="92" s="1"/>
  <c r="D62" i="92"/>
  <c r="B62" i="92"/>
  <c r="Z61" i="92"/>
  <c r="X61" i="92"/>
  <c r="N61" i="92"/>
  <c r="L61" i="92"/>
  <c r="B61" i="92"/>
  <c r="Z60" i="92"/>
  <c r="X60" i="92"/>
  <c r="N60" i="92"/>
  <c r="L60" i="92"/>
  <c r="B60" i="92"/>
  <c r="Z59" i="92"/>
  <c r="X59" i="92"/>
  <c r="N59" i="92"/>
  <c r="L59" i="92"/>
  <c r="B59" i="92"/>
  <c r="Z58" i="92"/>
  <c r="T58" i="92"/>
  <c r="P58" i="92"/>
  <c r="X58" i="92" s="1"/>
  <c r="N58" i="92"/>
  <c r="L58" i="92"/>
  <c r="H58" i="92"/>
  <c r="D58" i="92"/>
  <c r="B58" i="92"/>
  <c r="Z57" i="92"/>
  <c r="X57" i="92"/>
  <c r="L57" i="92"/>
  <c r="N57" i="92" s="1"/>
  <c r="B57" i="92"/>
  <c r="Z56" i="92"/>
  <c r="X56" i="92"/>
  <c r="N56" i="92"/>
  <c r="L56" i="92"/>
  <c r="B56" i="92"/>
  <c r="Z55" i="92"/>
  <c r="X55" i="92"/>
  <c r="L55" i="92"/>
  <c r="N55" i="92" s="1"/>
  <c r="B55" i="92"/>
  <c r="T54" i="92"/>
  <c r="P54" i="92"/>
  <c r="X54" i="92" s="1"/>
  <c r="Z54" i="92" s="1"/>
  <c r="L54" i="92"/>
  <c r="N54" i="92" s="1"/>
  <c r="H54" i="92"/>
  <c r="D54" i="92"/>
  <c r="B54" i="92"/>
  <c r="Z53" i="92"/>
  <c r="X53" i="92"/>
  <c r="N53" i="92"/>
  <c r="L53" i="92"/>
  <c r="B53" i="92"/>
  <c r="X52" i="92"/>
  <c r="Z52" i="92" s="1"/>
  <c r="N52" i="92"/>
  <c r="L52" i="92"/>
  <c r="B52" i="92"/>
  <c r="T51" i="92"/>
  <c r="P51" i="92"/>
  <c r="X51" i="92" s="1"/>
  <c r="N51" i="92"/>
  <c r="H51" i="92"/>
  <c r="D51" i="92"/>
  <c r="L51" i="92" s="1"/>
  <c r="B51" i="92"/>
  <c r="Z50" i="92"/>
  <c r="X50" i="92"/>
  <c r="N50" i="92"/>
  <c r="L50" i="92"/>
  <c r="B50" i="92"/>
  <c r="Z49" i="92"/>
  <c r="T49" i="92"/>
  <c r="P49" i="92"/>
  <c r="X49" i="92" s="1"/>
  <c r="N49" i="92"/>
  <c r="L49" i="92"/>
  <c r="H49" i="92"/>
  <c r="D49" i="92"/>
  <c r="B49" i="92"/>
  <c r="Z48" i="92"/>
  <c r="X48" i="92"/>
  <c r="L48" i="92"/>
  <c r="N48" i="92" s="1"/>
  <c r="B48" i="92"/>
  <c r="X47" i="92"/>
  <c r="Z47" i="92" s="1"/>
  <c r="T47" i="92"/>
  <c r="P47" i="92"/>
  <c r="L47" i="92"/>
  <c r="H47" i="92"/>
  <c r="N47" i="92" s="1"/>
  <c r="D47" i="92"/>
  <c r="B47" i="92"/>
  <c r="Z46" i="92"/>
  <c r="X46" i="92"/>
  <c r="L46" i="92"/>
  <c r="N46" i="92" s="1"/>
  <c r="B46" i="92"/>
  <c r="X45" i="92"/>
  <c r="T45" i="92"/>
  <c r="Z45" i="92" s="1"/>
  <c r="P45" i="92"/>
  <c r="H45" i="92"/>
  <c r="D45" i="92"/>
  <c r="L45" i="92" s="1"/>
  <c r="B45" i="92"/>
  <c r="Z44" i="92"/>
  <c r="X44" i="92"/>
  <c r="N44" i="92"/>
  <c r="L44" i="92"/>
  <c r="B44" i="92"/>
  <c r="T43" i="92"/>
  <c r="Z43" i="92" s="1"/>
  <c r="P43" i="92"/>
  <c r="X43" i="92" s="1"/>
  <c r="N43" i="92"/>
  <c r="H43" i="92"/>
  <c r="D43" i="92"/>
  <c r="L43" i="92" s="1"/>
  <c r="B43" i="92"/>
  <c r="Z42" i="92"/>
  <c r="X42" i="92"/>
  <c r="N42" i="92"/>
  <c r="L42" i="92"/>
  <c r="B42" i="92"/>
  <c r="Z41" i="92"/>
  <c r="T41" i="92"/>
  <c r="P41" i="92"/>
  <c r="X41" i="92" s="1"/>
  <c r="L41" i="92"/>
  <c r="H41" i="92"/>
  <c r="N41" i="92" s="1"/>
  <c r="D41" i="92"/>
  <c r="B41" i="92"/>
  <c r="Z40" i="92"/>
  <c r="X40" i="92"/>
  <c r="L40" i="92"/>
  <c r="N40" i="92" s="1"/>
  <c r="B40" i="92"/>
  <c r="X39" i="92"/>
  <c r="T39" i="92"/>
  <c r="Z39" i="92" s="1"/>
  <c r="P39" i="92"/>
  <c r="L39" i="92"/>
  <c r="H39" i="92"/>
  <c r="N39" i="92" s="1"/>
  <c r="D39" i="92"/>
  <c r="B39" i="92"/>
  <c r="Z38" i="92"/>
  <c r="X38" i="92"/>
  <c r="L38" i="92"/>
  <c r="N38" i="92" s="1"/>
  <c r="B38" i="92"/>
  <c r="Z37" i="92"/>
  <c r="X37" i="92"/>
  <c r="N37" i="92"/>
  <c r="L37" i="92"/>
  <c r="B37" i="92"/>
  <c r="Z36" i="92"/>
  <c r="X36" i="92"/>
  <c r="L36" i="92"/>
  <c r="N36" i="92" s="1"/>
  <c r="B36" i="92"/>
  <c r="X35" i="92"/>
  <c r="Z35" i="92" s="1"/>
  <c r="V35" i="92"/>
  <c r="N35" i="92"/>
  <c r="L35" i="92"/>
  <c r="B35" i="92"/>
  <c r="X34" i="92"/>
  <c r="T34" i="92"/>
  <c r="Z34" i="92" s="1"/>
  <c r="P34" i="92"/>
  <c r="H34" i="92"/>
  <c r="D34" i="92"/>
  <c r="L34" i="92" s="1"/>
  <c r="B34" i="92"/>
  <c r="X33" i="92"/>
  <c r="Z33" i="92" s="1"/>
  <c r="N33" i="92"/>
  <c r="L33" i="92"/>
  <c r="B33" i="92"/>
  <c r="Z32" i="92"/>
  <c r="X32" i="92"/>
  <c r="L32" i="92"/>
  <c r="N32" i="92" s="1"/>
  <c r="B32" i="92"/>
  <c r="X31" i="92"/>
  <c r="Z31" i="92" s="1"/>
  <c r="N31" i="92"/>
  <c r="L31" i="92"/>
  <c r="B31" i="92"/>
  <c r="X30" i="92"/>
  <c r="Z30" i="92" s="1"/>
  <c r="N30" i="92"/>
  <c r="L30" i="92"/>
  <c r="B30" i="92"/>
  <c r="Z29" i="92"/>
  <c r="X29" i="92"/>
  <c r="L29" i="92"/>
  <c r="N29" i="92" s="1"/>
  <c r="B29" i="92"/>
  <c r="X28" i="92"/>
  <c r="Z28" i="92" s="1"/>
  <c r="N28" i="92"/>
  <c r="L28" i="92"/>
  <c r="B28" i="92"/>
  <c r="Z27" i="92"/>
  <c r="X27" i="92"/>
  <c r="L27" i="92"/>
  <c r="N27" i="92" s="1"/>
  <c r="B27" i="92"/>
  <c r="Z26" i="92"/>
  <c r="X26" i="92"/>
  <c r="L26" i="92"/>
  <c r="N26" i="92" s="1"/>
  <c r="B26" i="92"/>
  <c r="X25" i="92"/>
  <c r="Z25" i="92" s="1"/>
  <c r="N25" i="92"/>
  <c r="L25" i="92"/>
  <c r="B25" i="92"/>
  <c r="T24" i="92"/>
  <c r="P24" i="92"/>
  <c r="H24" i="92"/>
  <c r="D24" i="92"/>
  <c r="L24" i="92" s="1"/>
  <c r="N24" i="92" s="1"/>
  <c r="B24" i="92"/>
  <c r="T23" i="92"/>
  <c r="P23" i="92"/>
  <c r="X23" i="92" s="1"/>
  <c r="H23" i="92"/>
  <c r="D23" i="92"/>
  <c r="L23" i="92" s="1"/>
  <c r="N23" i="92" s="1"/>
  <c r="Z19" i="92"/>
  <c r="X19" i="92"/>
  <c r="N19" i="92"/>
  <c r="L19" i="92"/>
  <c r="B19" i="92"/>
  <c r="Z18" i="92"/>
  <c r="X18" i="92"/>
  <c r="V18" i="92"/>
  <c r="N18" i="92"/>
  <c r="L18" i="92"/>
  <c r="B18" i="92"/>
  <c r="X17" i="92"/>
  <c r="T17" i="92"/>
  <c r="Z17" i="92" s="1"/>
  <c r="P17" i="92"/>
  <c r="H17" i="92"/>
  <c r="N17" i="92" s="1"/>
  <c r="D17" i="92"/>
  <c r="Z15" i="92"/>
  <c r="T15" i="92"/>
  <c r="P15" i="92"/>
  <c r="X15" i="92" s="1"/>
  <c r="N15" i="92"/>
  <c r="L15" i="92"/>
  <c r="H15" i="92"/>
  <c r="D15" i="92"/>
  <c r="B15" i="92"/>
  <c r="X14" i="92"/>
  <c r="T14" i="92"/>
  <c r="Z14" i="92" s="1"/>
  <c r="P14" i="92"/>
  <c r="N14" i="92"/>
  <c r="H14" i="92"/>
  <c r="D14" i="92"/>
  <c r="B14" i="92"/>
  <c r="Z13" i="92"/>
  <c r="T13" i="92"/>
  <c r="P13" i="92"/>
  <c r="H13" i="92"/>
  <c r="D13" i="92"/>
  <c r="B13" i="92"/>
  <c r="T12" i="92"/>
  <c r="D6" i="92"/>
  <c r="D4" i="92"/>
  <c r="V31" i="91"/>
  <c r="F31" i="91"/>
  <c r="V28" i="91"/>
  <c r="R28" i="91"/>
  <c r="F28" i="91"/>
  <c r="Z26" i="91"/>
  <c r="X26" i="91"/>
  <c r="V26" i="91"/>
  <c r="R26" i="91"/>
  <c r="N26" i="91"/>
  <c r="L26" i="91"/>
  <c r="V24" i="91"/>
  <c r="T24" i="91"/>
  <c r="T28" i="91" s="1"/>
  <c r="F24" i="91"/>
  <c r="D24" i="91"/>
  <c r="X22" i="91"/>
  <c r="V22" i="91"/>
  <c r="T22" i="91"/>
  <c r="Z22" i="91" s="1"/>
  <c r="R22" i="91"/>
  <c r="P22" i="91"/>
  <c r="L22" i="91"/>
  <c r="H22" i="91"/>
  <c r="N22" i="91" s="1"/>
  <c r="F22" i="91"/>
  <c r="D22" i="91"/>
  <c r="Z20" i="91"/>
  <c r="X20" i="91"/>
  <c r="V20" i="91"/>
  <c r="R20" i="91"/>
  <c r="L20" i="91"/>
  <c r="N20" i="91" s="1"/>
  <c r="B20" i="91"/>
  <c r="X19" i="91"/>
  <c r="V19" i="91"/>
  <c r="T19" i="91"/>
  <c r="Z19" i="91" s="1"/>
  <c r="P19" i="91"/>
  <c r="L19" i="91"/>
  <c r="H19" i="91"/>
  <c r="N19" i="91" s="1"/>
  <c r="F19" i="91"/>
  <c r="D19" i="91"/>
  <c r="B19" i="91"/>
  <c r="V18" i="91"/>
  <c r="T18" i="91"/>
  <c r="P18" i="91"/>
  <c r="X18" i="91" s="1"/>
  <c r="Z18" i="91" s="1"/>
  <c r="L18" i="91"/>
  <c r="H18" i="91"/>
  <c r="N18" i="91" s="1"/>
  <c r="F18" i="91"/>
  <c r="D18" i="91"/>
  <c r="T16" i="91"/>
  <c r="Z16" i="91" s="1"/>
  <c r="D16" i="91"/>
  <c r="Z14" i="91"/>
  <c r="V14" i="91"/>
  <c r="T14" i="91"/>
  <c r="P14" i="91"/>
  <c r="X14" i="91" s="1"/>
  <c r="L14" i="91"/>
  <c r="H14" i="91"/>
  <c r="N14" i="91" s="1"/>
  <c r="F14" i="91"/>
  <c r="D14" i="91"/>
  <c r="Z12" i="91"/>
  <c r="X12" i="91"/>
  <c r="T12" i="91"/>
  <c r="V16" i="91" s="1"/>
  <c r="P12" i="91"/>
  <c r="R31" i="91" s="1"/>
  <c r="H12" i="91"/>
  <c r="H16" i="91" s="1"/>
  <c r="D12" i="91"/>
  <c r="F16" i="91" s="1"/>
  <c r="D6" i="91"/>
  <c r="D4" i="91"/>
  <c r="X67" i="90"/>
  <c r="Z67" i="90" s="1"/>
  <c r="N67" i="90"/>
  <c r="L67" i="90"/>
  <c r="Z63" i="90"/>
  <c r="T63" i="90"/>
  <c r="P63" i="90"/>
  <c r="X63" i="90" s="1"/>
  <c r="N63" i="90"/>
  <c r="H63" i="90"/>
  <c r="D63" i="90"/>
  <c r="L63" i="90" s="1"/>
  <c r="X61" i="90"/>
  <c r="Z61" i="90" s="1"/>
  <c r="N61" i="90"/>
  <c r="L61" i="90"/>
  <c r="B61" i="90"/>
  <c r="T60" i="90"/>
  <c r="P60" i="90"/>
  <c r="N60" i="90"/>
  <c r="H60" i="90"/>
  <c r="D60" i="90"/>
  <c r="L60" i="90" s="1"/>
  <c r="B60" i="90"/>
  <c r="X59" i="90"/>
  <c r="Z59" i="90" s="1"/>
  <c r="N59" i="90"/>
  <c r="L59" i="90"/>
  <c r="B59" i="90"/>
  <c r="Z58" i="90"/>
  <c r="X58" i="90"/>
  <c r="L58" i="90"/>
  <c r="N58" i="90" s="1"/>
  <c r="B58" i="90"/>
  <c r="X57" i="90"/>
  <c r="Z57" i="90" s="1"/>
  <c r="N57" i="90"/>
  <c r="L57" i="90"/>
  <c r="J57" i="90"/>
  <c r="B57" i="90"/>
  <c r="Z56" i="90"/>
  <c r="X56" i="90"/>
  <c r="L56" i="90"/>
  <c r="N56" i="90" s="1"/>
  <c r="B56" i="90"/>
  <c r="Z55" i="90"/>
  <c r="X55" i="90"/>
  <c r="L55" i="90"/>
  <c r="N55" i="90" s="1"/>
  <c r="B55" i="90"/>
  <c r="X54" i="90"/>
  <c r="T54" i="90"/>
  <c r="P54" i="90"/>
  <c r="H54" i="90"/>
  <c r="D54" i="90"/>
  <c r="B54" i="90"/>
  <c r="X53" i="90"/>
  <c r="Z53" i="90" s="1"/>
  <c r="N53" i="90"/>
  <c r="L53" i="90"/>
  <c r="B53" i="90"/>
  <c r="Z52" i="90"/>
  <c r="X52" i="90"/>
  <c r="L52" i="90"/>
  <c r="N52" i="90" s="1"/>
  <c r="B52" i="90"/>
  <c r="Z51" i="90"/>
  <c r="X51" i="90"/>
  <c r="L51" i="90"/>
  <c r="N51" i="90" s="1"/>
  <c r="B51" i="90"/>
  <c r="X50" i="90"/>
  <c r="T50" i="90"/>
  <c r="P50" i="90"/>
  <c r="L50" i="90"/>
  <c r="N50" i="90" s="1"/>
  <c r="H50" i="90"/>
  <c r="D50" i="90"/>
  <c r="B50" i="90"/>
  <c r="X49" i="90"/>
  <c r="Z49" i="90" s="1"/>
  <c r="N49" i="90"/>
  <c r="L49" i="90"/>
  <c r="J49" i="90"/>
  <c r="B49" i="90"/>
  <c r="T48" i="90"/>
  <c r="X48" i="90" s="1"/>
  <c r="Z48" i="90" s="1"/>
  <c r="P48" i="90"/>
  <c r="L48" i="90"/>
  <c r="N48" i="90" s="1"/>
  <c r="H48" i="90"/>
  <c r="D48" i="90"/>
  <c r="B48" i="90"/>
  <c r="Z47" i="90"/>
  <c r="X47" i="90"/>
  <c r="N47" i="90"/>
  <c r="L47" i="90"/>
  <c r="B47" i="90"/>
  <c r="T46" i="90"/>
  <c r="P46" i="90"/>
  <c r="H46" i="90"/>
  <c r="D46" i="90"/>
  <c r="L46" i="90" s="1"/>
  <c r="B46" i="90"/>
  <c r="Z45" i="90"/>
  <c r="X45" i="90"/>
  <c r="L45" i="90"/>
  <c r="N45" i="90" s="1"/>
  <c r="B45" i="90"/>
  <c r="X44" i="90"/>
  <c r="T44" i="90"/>
  <c r="P44" i="90"/>
  <c r="H44" i="90"/>
  <c r="D44" i="90"/>
  <c r="L44" i="90" s="1"/>
  <c r="B44" i="90"/>
  <c r="Z43" i="90"/>
  <c r="X43" i="90"/>
  <c r="N43" i="90"/>
  <c r="L43" i="90"/>
  <c r="J43" i="90"/>
  <c r="B43" i="90"/>
  <c r="Z42" i="90"/>
  <c r="T42" i="90"/>
  <c r="P42" i="90"/>
  <c r="X42" i="90" s="1"/>
  <c r="N42" i="90"/>
  <c r="H42" i="90"/>
  <c r="D42" i="90"/>
  <c r="L42" i="90" s="1"/>
  <c r="B42" i="90"/>
  <c r="Z41" i="90"/>
  <c r="X41" i="90"/>
  <c r="N41" i="90"/>
  <c r="L41" i="90"/>
  <c r="B41" i="90"/>
  <c r="Z40" i="90"/>
  <c r="X40" i="90"/>
  <c r="T40" i="90"/>
  <c r="P40" i="90"/>
  <c r="H40" i="90"/>
  <c r="N40" i="90" s="1"/>
  <c r="D40" i="90"/>
  <c r="L40" i="90" s="1"/>
  <c r="B40" i="90"/>
  <c r="X39" i="90"/>
  <c r="Z39" i="90" s="1"/>
  <c r="N39" i="90"/>
  <c r="L39" i="90"/>
  <c r="B39" i="90"/>
  <c r="T38" i="90"/>
  <c r="P38" i="90"/>
  <c r="X38" i="90" s="1"/>
  <c r="H38" i="90"/>
  <c r="D38" i="90"/>
  <c r="L38" i="90" s="1"/>
  <c r="N38" i="90" s="1"/>
  <c r="B38" i="90"/>
  <c r="X37" i="90"/>
  <c r="Z37" i="90" s="1"/>
  <c r="L37" i="90"/>
  <c r="N37" i="90" s="1"/>
  <c r="J37" i="90"/>
  <c r="B37" i="90"/>
  <c r="Z36" i="90"/>
  <c r="X36" i="90"/>
  <c r="L36" i="90"/>
  <c r="N36" i="90" s="1"/>
  <c r="B36" i="90"/>
  <c r="Z35" i="90"/>
  <c r="X35" i="90"/>
  <c r="N35" i="90"/>
  <c r="L35" i="90"/>
  <c r="B35" i="90"/>
  <c r="T34" i="90"/>
  <c r="P34" i="90"/>
  <c r="H34" i="90"/>
  <c r="D34" i="90"/>
  <c r="L34" i="90" s="1"/>
  <c r="N34" i="90" s="1"/>
  <c r="B34" i="90"/>
  <c r="X33" i="90"/>
  <c r="Z33" i="90" s="1"/>
  <c r="L33" i="90"/>
  <c r="N33" i="90" s="1"/>
  <c r="J33" i="90"/>
  <c r="B33" i="90"/>
  <c r="Z32" i="90"/>
  <c r="X32" i="90"/>
  <c r="L32" i="90"/>
  <c r="N32" i="90" s="1"/>
  <c r="B32" i="90"/>
  <c r="Z31" i="90"/>
  <c r="X31" i="90"/>
  <c r="N31" i="90"/>
  <c r="L31" i="90"/>
  <c r="B31" i="90"/>
  <c r="Z30" i="90"/>
  <c r="X30" i="90"/>
  <c r="N30" i="90"/>
  <c r="L30" i="90"/>
  <c r="B30" i="90"/>
  <c r="X29" i="90"/>
  <c r="Z29" i="90" s="1"/>
  <c r="L29" i="90"/>
  <c r="N29" i="90" s="1"/>
  <c r="B29" i="90"/>
  <c r="X28" i="90"/>
  <c r="Z28" i="90" s="1"/>
  <c r="N28" i="90"/>
  <c r="L28" i="90"/>
  <c r="B28" i="90"/>
  <c r="Z27" i="90"/>
  <c r="X27" i="90"/>
  <c r="N27" i="90"/>
  <c r="L27" i="90"/>
  <c r="B27" i="90"/>
  <c r="Z26" i="90"/>
  <c r="X26" i="90"/>
  <c r="N26" i="90"/>
  <c r="L26" i="90"/>
  <c r="B26" i="90"/>
  <c r="X25" i="90"/>
  <c r="Z25" i="90" s="1"/>
  <c r="L25" i="90"/>
  <c r="N25" i="90" s="1"/>
  <c r="J25" i="90"/>
  <c r="B25" i="90"/>
  <c r="T24" i="90"/>
  <c r="P24" i="90"/>
  <c r="X24" i="90" s="1"/>
  <c r="Z24" i="90" s="1"/>
  <c r="H24" i="90"/>
  <c r="D24" i="90"/>
  <c r="L24" i="90" s="1"/>
  <c r="B24" i="90"/>
  <c r="Z23" i="90"/>
  <c r="T23" i="90"/>
  <c r="P23" i="90"/>
  <c r="X23" i="90" s="1"/>
  <c r="L23" i="90"/>
  <c r="J23" i="90"/>
  <c r="H23" i="90"/>
  <c r="N23" i="90" s="1"/>
  <c r="D23" i="90"/>
  <c r="Z19" i="90"/>
  <c r="X19" i="90"/>
  <c r="L19" i="90"/>
  <c r="N19" i="90" s="1"/>
  <c r="B19" i="90"/>
  <c r="Z18" i="90"/>
  <c r="X18" i="90"/>
  <c r="N18" i="90"/>
  <c r="L18" i="90"/>
  <c r="F18" i="90"/>
  <c r="B18" i="90"/>
  <c r="T17" i="90"/>
  <c r="P17" i="90"/>
  <c r="X17" i="90" s="1"/>
  <c r="N17" i="90"/>
  <c r="H17" i="90"/>
  <c r="L17" i="90" s="1"/>
  <c r="D17" i="90"/>
  <c r="T15" i="90"/>
  <c r="P15" i="90"/>
  <c r="L15" i="90"/>
  <c r="H15" i="90"/>
  <c r="N15" i="90" s="1"/>
  <c r="D15" i="90"/>
  <c r="B15" i="90"/>
  <c r="X14" i="90"/>
  <c r="Z14" i="90" s="1"/>
  <c r="T14" i="90"/>
  <c r="P14" i="90"/>
  <c r="H14" i="90"/>
  <c r="L14" i="90" s="1"/>
  <c r="N14" i="90" s="1"/>
  <c r="D14" i="90"/>
  <c r="B14" i="90"/>
  <c r="Z13" i="90"/>
  <c r="T13" i="90"/>
  <c r="P13" i="90"/>
  <c r="X13" i="90" s="1"/>
  <c r="H13" i="90"/>
  <c r="D13" i="90"/>
  <c r="L13" i="90" s="1"/>
  <c r="N13" i="90" s="1"/>
  <c r="B13" i="90"/>
  <c r="H12" i="90"/>
  <c r="D12" i="90"/>
  <c r="F26" i="90" s="1"/>
  <c r="D6" i="90"/>
  <c r="D4" i="90"/>
  <c r="Z43" i="89"/>
  <c r="X43" i="89"/>
  <c r="N43" i="89"/>
  <c r="L43" i="89"/>
  <c r="Z39" i="89"/>
  <c r="X39" i="89"/>
  <c r="T39" i="89"/>
  <c r="P39" i="89"/>
  <c r="H39" i="89"/>
  <c r="N39" i="89" s="1"/>
  <c r="D39" i="89"/>
  <c r="Z37" i="89"/>
  <c r="X37" i="89"/>
  <c r="L37" i="89"/>
  <c r="N37" i="89" s="1"/>
  <c r="B37" i="89"/>
  <c r="T36" i="89"/>
  <c r="R36" i="89"/>
  <c r="P36" i="89"/>
  <c r="X36" i="89" s="1"/>
  <c r="H36" i="89"/>
  <c r="D36" i="89"/>
  <c r="L36" i="89" s="1"/>
  <c r="B36" i="89"/>
  <c r="Z35" i="89"/>
  <c r="X35" i="89"/>
  <c r="N35" i="89"/>
  <c r="L35" i="89"/>
  <c r="F35" i="89"/>
  <c r="B35" i="89"/>
  <c r="T34" i="89"/>
  <c r="P34" i="89"/>
  <c r="X34" i="89" s="1"/>
  <c r="H34" i="89"/>
  <c r="L34" i="89" s="1"/>
  <c r="N34" i="89" s="1"/>
  <c r="D34" i="89"/>
  <c r="B34" i="89"/>
  <c r="Z33" i="89"/>
  <c r="X33" i="89"/>
  <c r="N33" i="89"/>
  <c r="L33" i="89"/>
  <c r="B33" i="89"/>
  <c r="Z32" i="89"/>
  <c r="T32" i="89"/>
  <c r="X32" i="89" s="1"/>
  <c r="P32" i="89"/>
  <c r="L32" i="89"/>
  <c r="H32" i="89"/>
  <c r="N32" i="89" s="1"/>
  <c r="D32" i="89"/>
  <c r="B32" i="89"/>
  <c r="Z31" i="89"/>
  <c r="X31" i="89"/>
  <c r="V31" i="89"/>
  <c r="R31" i="89"/>
  <c r="N31" i="89"/>
  <c r="L31" i="89"/>
  <c r="B31" i="89"/>
  <c r="X30" i="89"/>
  <c r="V30" i="89"/>
  <c r="T30" i="89"/>
  <c r="Z30" i="89" s="1"/>
  <c r="P30" i="89"/>
  <c r="H30" i="89"/>
  <c r="N30" i="89" s="1"/>
  <c r="F30" i="89"/>
  <c r="D30" i="89"/>
  <c r="L30" i="89" s="1"/>
  <c r="B30" i="89"/>
  <c r="Z29" i="89"/>
  <c r="X29" i="89"/>
  <c r="L29" i="89"/>
  <c r="N29" i="89" s="1"/>
  <c r="B29" i="89"/>
  <c r="T28" i="89"/>
  <c r="R28" i="89"/>
  <c r="P28" i="89"/>
  <c r="X28" i="89" s="1"/>
  <c r="H28" i="89"/>
  <c r="N28" i="89" s="1"/>
  <c r="D28" i="89"/>
  <c r="L28" i="89" s="1"/>
  <c r="B28" i="89"/>
  <c r="Z27" i="89"/>
  <c r="X27" i="89"/>
  <c r="V27" i="89"/>
  <c r="N27" i="89"/>
  <c r="L27" i="89"/>
  <c r="F27" i="89"/>
  <c r="B27" i="89"/>
  <c r="X26" i="89"/>
  <c r="Z26" i="89" s="1"/>
  <c r="L26" i="89"/>
  <c r="N26" i="89" s="1"/>
  <c r="B26" i="89"/>
  <c r="Z25" i="89"/>
  <c r="X25" i="89"/>
  <c r="L25" i="89"/>
  <c r="N25" i="89" s="1"/>
  <c r="B25" i="89"/>
  <c r="X24" i="89"/>
  <c r="Z24" i="89" s="1"/>
  <c r="R24" i="89"/>
  <c r="N24" i="89"/>
  <c r="L24" i="89"/>
  <c r="B24" i="89"/>
  <c r="Z23" i="89"/>
  <c r="X23" i="89"/>
  <c r="V23" i="89"/>
  <c r="R23" i="89"/>
  <c r="N23" i="89"/>
  <c r="L23" i="89"/>
  <c r="B23" i="89"/>
  <c r="X22" i="89"/>
  <c r="Z22" i="89" s="1"/>
  <c r="V22" i="89"/>
  <c r="L22" i="89"/>
  <c r="N22" i="89" s="1"/>
  <c r="B22" i="89"/>
  <c r="Z21" i="89"/>
  <c r="X21" i="89"/>
  <c r="N21" i="89"/>
  <c r="L21" i="89"/>
  <c r="B21" i="89"/>
  <c r="Z20" i="89"/>
  <c r="X20" i="89"/>
  <c r="R20" i="89"/>
  <c r="L20" i="89"/>
  <c r="N20" i="89" s="1"/>
  <c r="F20" i="89"/>
  <c r="B20" i="89"/>
  <c r="V19" i="89"/>
  <c r="T19" i="89"/>
  <c r="P19" i="89"/>
  <c r="X19" i="89" s="1"/>
  <c r="Z19" i="89" s="1"/>
  <c r="N19" i="89"/>
  <c r="L19" i="89"/>
  <c r="H19" i="89"/>
  <c r="D19" i="89"/>
  <c r="B19" i="89"/>
  <c r="X18" i="89"/>
  <c r="V18" i="89"/>
  <c r="T18" i="89"/>
  <c r="Z18" i="89" s="1"/>
  <c r="P18" i="89"/>
  <c r="H18" i="89"/>
  <c r="F18" i="89"/>
  <c r="D18" i="89"/>
  <c r="P16" i="89"/>
  <c r="P41" i="89" s="1"/>
  <c r="X14" i="89"/>
  <c r="V14" i="89"/>
  <c r="T14" i="89"/>
  <c r="T16" i="89" s="1"/>
  <c r="P14" i="89"/>
  <c r="H14" i="89"/>
  <c r="N14" i="89" s="1"/>
  <c r="F14" i="89"/>
  <c r="D14" i="89"/>
  <c r="X12" i="89"/>
  <c r="T12" i="89"/>
  <c r="V45" i="89" s="1"/>
  <c r="P12" i="89"/>
  <c r="R22" i="89" s="1"/>
  <c r="L12" i="89"/>
  <c r="H12" i="89"/>
  <c r="J26" i="89" s="1"/>
  <c r="D12" i="89"/>
  <c r="F45" i="89" s="1"/>
  <c r="D6" i="89"/>
  <c r="D4" i="89"/>
  <c r="Z37" i="88"/>
  <c r="X37" i="88"/>
  <c r="R37" i="88"/>
  <c r="N37" i="88"/>
  <c r="L37" i="88"/>
  <c r="Z33" i="88"/>
  <c r="T33" i="88"/>
  <c r="X33" i="88" s="1"/>
  <c r="P33" i="88"/>
  <c r="H33" i="88"/>
  <c r="N33" i="88" s="1"/>
  <c r="D33" i="88"/>
  <c r="L33" i="88" s="1"/>
  <c r="X31" i="88"/>
  <c r="Z31" i="88" s="1"/>
  <c r="R31" i="88"/>
  <c r="N31" i="88"/>
  <c r="L31" i="88"/>
  <c r="B31" i="88"/>
  <c r="T30" i="88"/>
  <c r="P30" i="88"/>
  <c r="X30" i="88" s="1"/>
  <c r="N30" i="88"/>
  <c r="H30" i="88"/>
  <c r="D30" i="88"/>
  <c r="L30" i="88" s="1"/>
  <c r="B30" i="88"/>
  <c r="X29" i="88"/>
  <c r="Z29" i="88" s="1"/>
  <c r="L29" i="88"/>
  <c r="N29" i="88" s="1"/>
  <c r="J29" i="88"/>
  <c r="B29" i="88"/>
  <c r="T28" i="88"/>
  <c r="P28" i="88"/>
  <c r="X28" i="88" s="1"/>
  <c r="Z28" i="88" s="1"/>
  <c r="N28" i="88"/>
  <c r="J28" i="88"/>
  <c r="H28" i="88"/>
  <c r="D28" i="88"/>
  <c r="L28" i="88" s="1"/>
  <c r="B28" i="88"/>
  <c r="X27" i="88"/>
  <c r="Z27" i="88" s="1"/>
  <c r="L27" i="88"/>
  <c r="N27" i="88" s="1"/>
  <c r="F27" i="88"/>
  <c r="B27" i="88"/>
  <c r="T26" i="88"/>
  <c r="P26" i="88"/>
  <c r="X26" i="88" s="1"/>
  <c r="Z26" i="88" s="1"/>
  <c r="N26" i="88"/>
  <c r="L26" i="88"/>
  <c r="J26" i="88"/>
  <c r="H26" i="88"/>
  <c r="D26" i="88"/>
  <c r="B26" i="88"/>
  <c r="X25" i="88"/>
  <c r="Z25" i="88" s="1"/>
  <c r="L25" i="88"/>
  <c r="N25" i="88" s="1"/>
  <c r="B25" i="88"/>
  <c r="Z24" i="88"/>
  <c r="X24" i="88"/>
  <c r="N24" i="88"/>
  <c r="L24" i="88"/>
  <c r="J24" i="88"/>
  <c r="B24" i="88"/>
  <c r="X23" i="88"/>
  <c r="Z23" i="88" s="1"/>
  <c r="L23" i="88"/>
  <c r="N23" i="88" s="1"/>
  <c r="B23" i="88"/>
  <c r="Z22" i="88"/>
  <c r="X22" i="88"/>
  <c r="N22" i="88"/>
  <c r="L22" i="88"/>
  <c r="B22" i="88"/>
  <c r="X21" i="88"/>
  <c r="Z21" i="88" s="1"/>
  <c r="L21" i="88"/>
  <c r="N21" i="88" s="1"/>
  <c r="B21" i="88"/>
  <c r="T20" i="88"/>
  <c r="P20" i="88"/>
  <c r="X20" i="88" s="1"/>
  <c r="Z20" i="88" s="1"/>
  <c r="J20" i="88"/>
  <c r="H20" i="88"/>
  <c r="D20" i="88"/>
  <c r="B20" i="88"/>
  <c r="T19" i="88"/>
  <c r="Z19" i="88" s="1"/>
  <c r="R19" i="88"/>
  <c r="P19" i="88"/>
  <c r="X19" i="88" s="1"/>
  <c r="J19" i="88"/>
  <c r="H19" i="88"/>
  <c r="N19" i="88" s="1"/>
  <c r="D19" i="88"/>
  <c r="L19" i="88" s="1"/>
  <c r="J17" i="88"/>
  <c r="H17" i="88"/>
  <c r="H35" i="88" s="1"/>
  <c r="Z15" i="88"/>
  <c r="X15" i="88"/>
  <c r="N15" i="88"/>
  <c r="L15" i="88"/>
  <c r="B15" i="88"/>
  <c r="V14" i="88"/>
  <c r="T14" i="88"/>
  <c r="P14" i="88"/>
  <c r="H14" i="88"/>
  <c r="N14" i="88" s="1"/>
  <c r="D14" i="88"/>
  <c r="L14" i="88" s="1"/>
  <c r="Z12" i="88"/>
  <c r="T12" i="88"/>
  <c r="V30" i="88" s="1"/>
  <c r="P12" i="88"/>
  <c r="R35" i="88" s="1"/>
  <c r="H12" i="88"/>
  <c r="D12" i="88"/>
  <c r="D6" i="88"/>
  <c r="D4" i="88"/>
  <c r="Z30" i="87"/>
  <c r="X30" i="87"/>
  <c r="N30" i="87"/>
  <c r="L30" i="87"/>
  <c r="Z26" i="87"/>
  <c r="X26" i="87"/>
  <c r="T26" i="87"/>
  <c r="P26" i="87"/>
  <c r="H26" i="87"/>
  <c r="D26" i="87"/>
  <c r="X24" i="87"/>
  <c r="Z24" i="87" s="1"/>
  <c r="L24" i="87"/>
  <c r="N24" i="87" s="1"/>
  <c r="B24" i="87"/>
  <c r="T23" i="87"/>
  <c r="R23" i="87"/>
  <c r="P23" i="87"/>
  <c r="X23" i="87" s="1"/>
  <c r="Z23" i="87" s="1"/>
  <c r="H23" i="87"/>
  <c r="D23" i="87"/>
  <c r="L23" i="87" s="1"/>
  <c r="B23" i="87"/>
  <c r="Z22" i="87"/>
  <c r="X22" i="87"/>
  <c r="L22" i="87"/>
  <c r="N22" i="87" s="1"/>
  <c r="B22" i="87"/>
  <c r="V21" i="87"/>
  <c r="T21" i="87"/>
  <c r="P21" i="87"/>
  <c r="X21" i="87" s="1"/>
  <c r="N21" i="87"/>
  <c r="L21" i="87"/>
  <c r="H21" i="87"/>
  <c r="D21" i="87"/>
  <c r="B21" i="87"/>
  <c r="X20" i="87"/>
  <c r="Z20" i="87" s="1"/>
  <c r="L20" i="87"/>
  <c r="N20" i="87" s="1"/>
  <c r="B20" i="87"/>
  <c r="Z19" i="87"/>
  <c r="X19" i="87"/>
  <c r="T19" i="87"/>
  <c r="P19" i="87"/>
  <c r="L19" i="87"/>
  <c r="J19" i="87"/>
  <c r="H19" i="87"/>
  <c r="N19" i="87" s="1"/>
  <c r="D19" i="87"/>
  <c r="B19" i="87"/>
  <c r="V18" i="87"/>
  <c r="T18" i="87"/>
  <c r="P18" i="87"/>
  <c r="H18" i="87"/>
  <c r="D18" i="87"/>
  <c r="L18" i="87" s="1"/>
  <c r="V14" i="87"/>
  <c r="T14" i="87"/>
  <c r="P14" i="87"/>
  <c r="H14" i="87"/>
  <c r="N14" i="87" s="1"/>
  <c r="D14" i="87"/>
  <c r="L14" i="87" s="1"/>
  <c r="Z12" i="87"/>
  <c r="T12" i="87"/>
  <c r="V32" i="87" s="1"/>
  <c r="P12" i="87"/>
  <c r="R18" i="87" s="1"/>
  <c r="H12" i="87"/>
  <c r="J30" i="87" s="1"/>
  <c r="D12" i="87"/>
  <c r="D6" i="87"/>
  <c r="D4" i="87"/>
  <c r="Z31" i="86"/>
  <c r="X31" i="86"/>
  <c r="N31" i="86"/>
  <c r="L31" i="86"/>
  <c r="P29" i="86"/>
  <c r="Z27" i="86"/>
  <c r="X27" i="86"/>
  <c r="T27" i="86"/>
  <c r="P27" i="86"/>
  <c r="H27" i="86"/>
  <c r="N27" i="86" s="1"/>
  <c r="D27" i="86"/>
  <c r="X25" i="86"/>
  <c r="Z25" i="86" s="1"/>
  <c r="L25" i="86"/>
  <c r="N25" i="86" s="1"/>
  <c r="B25" i="86"/>
  <c r="T24" i="86"/>
  <c r="R24" i="86"/>
  <c r="P24" i="86"/>
  <c r="X24" i="86" s="1"/>
  <c r="Z24" i="86" s="1"/>
  <c r="H24" i="86"/>
  <c r="N24" i="86" s="1"/>
  <c r="D24" i="86"/>
  <c r="L24" i="86" s="1"/>
  <c r="B24" i="86"/>
  <c r="Z23" i="86"/>
  <c r="X23" i="86"/>
  <c r="N23" i="86"/>
  <c r="L23" i="86"/>
  <c r="F23" i="86"/>
  <c r="B23" i="86"/>
  <c r="T22" i="86"/>
  <c r="P22" i="86"/>
  <c r="X22" i="86" s="1"/>
  <c r="N22" i="86"/>
  <c r="L22" i="86"/>
  <c r="H22" i="86"/>
  <c r="D22" i="86"/>
  <c r="B22" i="86"/>
  <c r="X21" i="86"/>
  <c r="Z21" i="86" s="1"/>
  <c r="L21" i="86"/>
  <c r="N21" i="86" s="1"/>
  <c r="B21" i="86"/>
  <c r="Z20" i="86"/>
  <c r="X20" i="86"/>
  <c r="N20" i="86"/>
  <c r="L20" i="86"/>
  <c r="B20" i="86"/>
  <c r="T19" i="86"/>
  <c r="Z19" i="86" s="1"/>
  <c r="P19" i="86"/>
  <c r="X19" i="86" s="1"/>
  <c r="L19" i="86"/>
  <c r="N19" i="86" s="1"/>
  <c r="H19" i="86"/>
  <c r="D19" i="86"/>
  <c r="B19" i="86"/>
  <c r="V18" i="86"/>
  <c r="T18" i="86"/>
  <c r="P18" i="86"/>
  <c r="X18" i="86" s="1"/>
  <c r="H18" i="86"/>
  <c r="F18" i="86"/>
  <c r="D18" i="86"/>
  <c r="L18" i="86" s="1"/>
  <c r="V14" i="86"/>
  <c r="T14" i="86"/>
  <c r="Z14" i="86" s="1"/>
  <c r="P14" i="86"/>
  <c r="P16" i="86" s="1"/>
  <c r="H14" i="86"/>
  <c r="N14" i="86" s="1"/>
  <c r="F14" i="86"/>
  <c r="D14" i="86"/>
  <c r="L14" i="86" s="1"/>
  <c r="X12" i="86"/>
  <c r="T12" i="86"/>
  <c r="V33" i="86" s="1"/>
  <c r="P12" i="86"/>
  <c r="R21" i="86" s="1"/>
  <c r="H12" i="86"/>
  <c r="D12" i="86"/>
  <c r="F33" i="86" s="1"/>
  <c r="D6" i="86"/>
  <c r="D4" i="86"/>
  <c r="J57" i="85"/>
  <c r="Z55" i="85"/>
  <c r="X55" i="85"/>
  <c r="N55" i="85"/>
  <c r="L55" i="85"/>
  <c r="Z51" i="85"/>
  <c r="T51" i="85"/>
  <c r="X51" i="85" s="1"/>
  <c r="P51" i="85"/>
  <c r="J51" i="85"/>
  <c r="H51" i="85"/>
  <c r="N51" i="85" s="1"/>
  <c r="D51" i="85"/>
  <c r="L51" i="85" s="1"/>
  <c r="Z49" i="85"/>
  <c r="X49" i="85"/>
  <c r="N49" i="85"/>
  <c r="L49" i="85"/>
  <c r="B49" i="85"/>
  <c r="T48" i="85"/>
  <c r="P48" i="85"/>
  <c r="X48" i="85" s="1"/>
  <c r="H48" i="85"/>
  <c r="D48" i="85"/>
  <c r="L48" i="85" s="1"/>
  <c r="N48" i="85" s="1"/>
  <c r="B48" i="85"/>
  <c r="Z47" i="85"/>
  <c r="X47" i="85"/>
  <c r="N47" i="85"/>
  <c r="L47" i="85"/>
  <c r="J47" i="85"/>
  <c r="B47" i="85"/>
  <c r="Z46" i="85"/>
  <c r="T46" i="85"/>
  <c r="P46" i="85"/>
  <c r="X46" i="85" s="1"/>
  <c r="N46" i="85"/>
  <c r="H46" i="85"/>
  <c r="L46" i="85" s="1"/>
  <c r="D46" i="85"/>
  <c r="B46" i="85"/>
  <c r="Z45" i="85"/>
  <c r="X45" i="85"/>
  <c r="N45" i="85"/>
  <c r="L45" i="85"/>
  <c r="B45" i="85"/>
  <c r="Z44" i="85"/>
  <c r="T44" i="85"/>
  <c r="X44" i="85" s="1"/>
  <c r="P44" i="85"/>
  <c r="N44" i="85"/>
  <c r="L44" i="85"/>
  <c r="H44" i="85"/>
  <c r="D44" i="85"/>
  <c r="B44" i="85"/>
  <c r="X43" i="85"/>
  <c r="Z43" i="85" s="1"/>
  <c r="L43" i="85"/>
  <c r="N43" i="85" s="1"/>
  <c r="B43" i="85"/>
  <c r="X42" i="85"/>
  <c r="T42" i="85"/>
  <c r="P42" i="85"/>
  <c r="H42" i="85"/>
  <c r="D42" i="85"/>
  <c r="B42" i="85"/>
  <c r="Z41" i="85"/>
  <c r="X41" i="85"/>
  <c r="N41" i="85"/>
  <c r="L41" i="85"/>
  <c r="B41" i="85"/>
  <c r="T40" i="85"/>
  <c r="P40" i="85"/>
  <c r="H40" i="85"/>
  <c r="D40" i="85"/>
  <c r="L40" i="85" s="1"/>
  <c r="N40" i="85" s="1"/>
  <c r="B40" i="85"/>
  <c r="X39" i="85"/>
  <c r="Z39" i="85" s="1"/>
  <c r="L39" i="85"/>
  <c r="N39" i="85" s="1"/>
  <c r="J39" i="85"/>
  <c r="B39" i="85"/>
  <c r="Z38" i="85"/>
  <c r="X38" i="85"/>
  <c r="L38" i="85"/>
  <c r="N38" i="85" s="1"/>
  <c r="B38" i="85"/>
  <c r="T37" i="85"/>
  <c r="P37" i="85"/>
  <c r="X37" i="85" s="1"/>
  <c r="Z37" i="85" s="1"/>
  <c r="L37" i="85"/>
  <c r="N37" i="85" s="1"/>
  <c r="H37" i="85"/>
  <c r="D37" i="85"/>
  <c r="B37" i="85"/>
  <c r="Z36" i="85"/>
  <c r="X36" i="85"/>
  <c r="N36" i="85"/>
  <c r="L36" i="85"/>
  <c r="F36" i="85"/>
  <c r="B36" i="85"/>
  <c r="Z35" i="85"/>
  <c r="X35" i="85"/>
  <c r="T35" i="85"/>
  <c r="P35" i="85"/>
  <c r="N35" i="85"/>
  <c r="H35" i="85"/>
  <c r="L35" i="85" s="1"/>
  <c r="D35" i="85"/>
  <c r="B35" i="85"/>
  <c r="Z34" i="85"/>
  <c r="X34" i="85"/>
  <c r="N34" i="85"/>
  <c r="L34" i="85"/>
  <c r="B34" i="85"/>
  <c r="Z33" i="85"/>
  <c r="T33" i="85"/>
  <c r="X33" i="85" s="1"/>
  <c r="P33" i="85"/>
  <c r="J33" i="85"/>
  <c r="H33" i="85"/>
  <c r="N33" i="85" s="1"/>
  <c r="D33" i="85"/>
  <c r="L33" i="85" s="1"/>
  <c r="B33" i="85"/>
  <c r="Z32" i="85"/>
  <c r="X32" i="85"/>
  <c r="R32" i="85"/>
  <c r="N32" i="85"/>
  <c r="L32" i="85"/>
  <c r="B32" i="85"/>
  <c r="Z31" i="85"/>
  <c r="X31" i="85"/>
  <c r="N31" i="85"/>
  <c r="L31" i="85"/>
  <c r="B31" i="85"/>
  <c r="Z30" i="85"/>
  <c r="X30" i="85"/>
  <c r="N30" i="85"/>
  <c r="L30" i="85"/>
  <c r="B30" i="85"/>
  <c r="Z29" i="85"/>
  <c r="X29" i="85"/>
  <c r="N29" i="85"/>
  <c r="L29" i="85"/>
  <c r="B29" i="85"/>
  <c r="Z28" i="85"/>
  <c r="X28" i="85"/>
  <c r="T28" i="85"/>
  <c r="P28" i="85"/>
  <c r="L28" i="85"/>
  <c r="N28" i="85" s="1"/>
  <c r="H28" i="85"/>
  <c r="D28" i="85"/>
  <c r="B28" i="85"/>
  <c r="Z27" i="85"/>
  <c r="X27" i="85"/>
  <c r="N27" i="85"/>
  <c r="L27" i="85"/>
  <c r="B27" i="85"/>
  <c r="X26" i="85"/>
  <c r="Z26" i="85" s="1"/>
  <c r="N26" i="85"/>
  <c r="L26" i="85"/>
  <c r="B26" i="85"/>
  <c r="Z25" i="85"/>
  <c r="X25" i="85"/>
  <c r="N25" i="85"/>
  <c r="L25" i="85"/>
  <c r="B25" i="85"/>
  <c r="Z24" i="85"/>
  <c r="X24" i="85"/>
  <c r="L24" i="85"/>
  <c r="N24" i="85" s="1"/>
  <c r="B24" i="85"/>
  <c r="Z23" i="85"/>
  <c r="X23" i="85"/>
  <c r="N23" i="85"/>
  <c r="L23" i="85"/>
  <c r="J23" i="85"/>
  <c r="B23" i="85"/>
  <c r="Z22" i="85"/>
  <c r="X22" i="85"/>
  <c r="L22" i="85"/>
  <c r="N22" i="85" s="1"/>
  <c r="B22" i="85"/>
  <c r="Z21" i="85"/>
  <c r="X21" i="85"/>
  <c r="N21" i="85"/>
  <c r="L21" i="85"/>
  <c r="B21" i="85"/>
  <c r="X20" i="85"/>
  <c r="Z20" i="85" s="1"/>
  <c r="N20" i="85"/>
  <c r="L20" i="85"/>
  <c r="J20" i="85"/>
  <c r="B20" i="85"/>
  <c r="T19" i="85"/>
  <c r="P19" i="85"/>
  <c r="X19" i="85" s="1"/>
  <c r="H19" i="85"/>
  <c r="N19" i="85" s="1"/>
  <c r="D19" i="85"/>
  <c r="L19" i="85" s="1"/>
  <c r="B19" i="85"/>
  <c r="Z18" i="85"/>
  <c r="T18" i="85"/>
  <c r="P18" i="85"/>
  <c r="X18" i="85" s="1"/>
  <c r="N18" i="85"/>
  <c r="J18" i="85"/>
  <c r="H18" i="85"/>
  <c r="D18" i="85"/>
  <c r="L18" i="85" s="1"/>
  <c r="J16" i="85"/>
  <c r="Z14" i="85"/>
  <c r="T14" i="85"/>
  <c r="P14" i="85"/>
  <c r="X14" i="85" s="1"/>
  <c r="N14" i="85"/>
  <c r="J14" i="85"/>
  <c r="H14" i="85"/>
  <c r="H16" i="85" s="1"/>
  <c r="D14" i="85"/>
  <c r="L14" i="85" s="1"/>
  <c r="Z12" i="85"/>
  <c r="T12" i="85"/>
  <c r="P12" i="85"/>
  <c r="N12" i="85"/>
  <c r="H12" i="85"/>
  <c r="J44" i="85" s="1"/>
  <c r="D12" i="85"/>
  <c r="F24" i="85" s="1"/>
  <c r="D6" i="85"/>
  <c r="D4" i="85"/>
  <c r="Z79" i="84"/>
  <c r="X79" i="84"/>
  <c r="N79" i="84"/>
  <c r="L79" i="84"/>
  <c r="X75" i="84"/>
  <c r="T75" i="84"/>
  <c r="Z75" i="84" s="1"/>
  <c r="P75" i="84"/>
  <c r="P74" i="84" s="1"/>
  <c r="N75" i="84"/>
  <c r="H75" i="84"/>
  <c r="D75" i="84"/>
  <c r="L75" i="84" s="1"/>
  <c r="B75" i="84"/>
  <c r="H74" i="84"/>
  <c r="N74" i="84" s="1"/>
  <c r="Z72" i="84"/>
  <c r="X72" i="84"/>
  <c r="L72" i="84"/>
  <c r="N72" i="84" s="1"/>
  <c r="B72" i="84"/>
  <c r="X71" i="84"/>
  <c r="T71" i="84"/>
  <c r="Z71" i="84" s="1"/>
  <c r="P71" i="84"/>
  <c r="L71" i="84"/>
  <c r="H71" i="84"/>
  <c r="N71" i="84" s="1"/>
  <c r="D71" i="84"/>
  <c r="B71" i="84"/>
  <c r="X70" i="84"/>
  <c r="Z70" i="84" s="1"/>
  <c r="N70" i="84"/>
  <c r="L70" i="84"/>
  <c r="F70" i="84"/>
  <c r="B70" i="84"/>
  <c r="X69" i="84"/>
  <c r="T69" i="84"/>
  <c r="Z69" i="84" s="1"/>
  <c r="P69" i="84"/>
  <c r="H69" i="84"/>
  <c r="D69" i="84"/>
  <c r="L69" i="84" s="1"/>
  <c r="N69" i="84" s="1"/>
  <c r="B69" i="84"/>
  <c r="Z68" i="84"/>
  <c r="X68" i="84"/>
  <c r="N68" i="84"/>
  <c r="L68" i="84"/>
  <c r="B68" i="84"/>
  <c r="Z67" i="84"/>
  <c r="X67" i="84"/>
  <c r="L67" i="84"/>
  <c r="N67" i="84" s="1"/>
  <c r="B67" i="84"/>
  <c r="Z66" i="84"/>
  <c r="X66" i="84"/>
  <c r="N66" i="84"/>
  <c r="L66" i="84"/>
  <c r="B66" i="84"/>
  <c r="Z65" i="84"/>
  <c r="X65" i="84"/>
  <c r="N65" i="84"/>
  <c r="L65" i="84"/>
  <c r="B65" i="84"/>
  <c r="Z64" i="84"/>
  <c r="X64" i="84"/>
  <c r="L64" i="84"/>
  <c r="N64" i="84" s="1"/>
  <c r="B64" i="84"/>
  <c r="T63" i="84"/>
  <c r="P63" i="84"/>
  <c r="L63" i="84"/>
  <c r="H63" i="84"/>
  <c r="N63" i="84" s="1"/>
  <c r="D63" i="84"/>
  <c r="B63" i="84"/>
  <c r="Z62" i="84"/>
  <c r="X62" i="84"/>
  <c r="N62" i="84"/>
  <c r="L62" i="84"/>
  <c r="B62" i="84"/>
  <c r="T61" i="84"/>
  <c r="P61" i="84"/>
  <c r="X61" i="84" s="1"/>
  <c r="N61" i="84"/>
  <c r="H61" i="84"/>
  <c r="D61" i="84"/>
  <c r="L61" i="84" s="1"/>
  <c r="B61" i="84"/>
  <c r="Z60" i="84"/>
  <c r="X60" i="84"/>
  <c r="N60" i="84"/>
  <c r="L60" i="84"/>
  <c r="B60" i="84"/>
  <c r="Z59" i="84"/>
  <c r="X59" i="84"/>
  <c r="N59" i="84"/>
  <c r="L59" i="84"/>
  <c r="B59" i="84"/>
  <c r="Z58" i="84"/>
  <c r="X58" i="84"/>
  <c r="N58" i="84"/>
  <c r="L58" i="84"/>
  <c r="B58" i="84"/>
  <c r="T57" i="84"/>
  <c r="P57" i="84"/>
  <c r="X57" i="84" s="1"/>
  <c r="H57" i="84"/>
  <c r="D57" i="84"/>
  <c r="L57" i="84" s="1"/>
  <c r="N57" i="84" s="1"/>
  <c r="B57" i="84"/>
  <c r="X56" i="84"/>
  <c r="Z56" i="84" s="1"/>
  <c r="N56" i="84"/>
  <c r="L56" i="84"/>
  <c r="B56" i="84"/>
  <c r="Z55" i="84"/>
  <c r="X55" i="84"/>
  <c r="L55" i="84"/>
  <c r="N55" i="84" s="1"/>
  <c r="B55" i="84"/>
  <c r="T54" i="84"/>
  <c r="P54" i="84"/>
  <c r="X54" i="84" s="1"/>
  <c r="Z54" i="84" s="1"/>
  <c r="L54" i="84"/>
  <c r="N54" i="84" s="1"/>
  <c r="H54" i="84"/>
  <c r="D54" i="84"/>
  <c r="B54" i="84"/>
  <c r="X53" i="84"/>
  <c r="Z53" i="84" s="1"/>
  <c r="L53" i="84"/>
  <c r="N53" i="84" s="1"/>
  <c r="B53" i="84"/>
  <c r="X52" i="84"/>
  <c r="Z52" i="84" s="1"/>
  <c r="T52" i="84"/>
  <c r="P52" i="84"/>
  <c r="H52" i="84"/>
  <c r="D52" i="84"/>
  <c r="B52" i="84"/>
  <c r="X51" i="84"/>
  <c r="Z51" i="84" s="1"/>
  <c r="N51" i="84"/>
  <c r="L51" i="84"/>
  <c r="B51" i="84"/>
  <c r="T50" i="84"/>
  <c r="P50" i="84"/>
  <c r="H50" i="84"/>
  <c r="D50" i="84"/>
  <c r="L50" i="84" s="1"/>
  <c r="N50" i="84" s="1"/>
  <c r="B50" i="84"/>
  <c r="X49" i="84"/>
  <c r="Z49" i="84" s="1"/>
  <c r="L49" i="84"/>
  <c r="N49" i="84" s="1"/>
  <c r="B49" i="84"/>
  <c r="T48" i="84"/>
  <c r="P48" i="84"/>
  <c r="X48" i="84" s="1"/>
  <c r="Z48" i="84" s="1"/>
  <c r="H48" i="84"/>
  <c r="D48" i="84"/>
  <c r="L48" i="84" s="1"/>
  <c r="N48" i="84" s="1"/>
  <c r="B48" i="84"/>
  <c r="Z47" i="84"/>
  <c r="X47" i="84"/>
  <c r="L47" i="84"/>
  <c r="N47" i="84" s="1"/>
  <c r="B47" i="84"/>
  <c r="T46" i="84"/>
  <c r="Z46" i="84" s="1"/>
  <c r="P46" i="84"/>
  <c r="X46" i="84" s="1"/>
  <c r="L46" i="84"/>
  <c r="N46" i="84" s="1"/>
  <c r="H46" i="84"/>
  <c r="D46" i="84"/>
  <c r="B46" i="84"/>
  <c r="X45" i="84"/>
  <c r="Z45" i="84" s="1"/>
  <c r="L45" i="84"/>
  <c r="N45" i="84" s="1"/>
  <c r="B45" i="84"/>
  <c r="X44" i="84"/>
  <c r="Z44" i="84" s="1"/>
  <c r="N44" i="84"/>
  <c r="L44" i="84"/>
  <c r="B44" i="84"/>
  <c r="T43" i="84"/>
  <c r="P43" i="84"/>
  <c r="X43" i="84" s="1"/>
  <c r="Z43" i="84" s="1"/>
  <c r="L43" i="84"/>
  <c r="N43" i="84" s="1"/>
  <c r="H43" i="84"/>
  <c r="D43" i="84"/>
  <c r="B43" i="84"/>
  <c r="Z42" i="84"/>
  <c r="X42" i="84"/>
  <c r="N42" i="84"/>
  <c r="L42" i="84"/>
  <c r="B42" i="84"/>
  <c r="Z41" i="84"/>
  <c r="X41" i="84"/>
  <c r="T41" i="84"/>
  <c r="P41" i="84"/>
  <c r="H41" i="84"/>
  <c r="N41" i="84" s="1"/>
  <c r="D41" i="84"/>
  <c r="B41" i="84"/>
  <c r="Z40" i="84"/>
  <c r="X40" i="84"/>
  <c r="N40" i="84"/>
  <c r="L40" i="84"/>
  <c r="B40" i="84"/>
  <c r="T39" i="84"/>
  <c r="Z39" i="84" s="1"/>
  <c r="P39" i="84"/>
  <c r="H39" i="84"/>
  <c r="N39" i="84" s="1"/>
  <c r="D39" i="84"/>
  <c r="L39" i="84" s="1"/>
  <c r="B39" i="84"/>
  <c r="Z38" i="84"/>
  <c r="X38" i="84"/>
  <c r="N38" i="84"/>
  <c r="L38" i="84"/>
  <c r="B38" i="84"/>
  <c r="T37" i="84"/>
  <c r="P37" i="84"/>
  <c r="X37" i="84" s="1"/>
  <c r="N37" i="84"/>
  <c r="H37" i="84"/>
  <c r="D37" i="84"/>
  <c r="L37" i="84" s="1"/>
  <c r="B37" i="84"/>
  <c r="X36" i="84"/>
  <c r="Z36" i="84" s="1"/>
  <c r="N36" i="84"/>
  <c r="L36" i="84"/>
  <c r="B36" i="84"/>
  <c r="Z35" i="84"/>
  <c r="X35" i="84"/>
  <c r="N35" i="84"/>
  <c r="L35" i="84"/>
  <c r="B35" i="84"/>
  <c r="Z34" i="84"/>
  <c r="X34" i="84"/>
  <c r="N34" i="84"/>
  <c r="L34" i="84"/>
  <c r="B34" i="84"/>
  <c r="X33" i="84"/>
  <c r="Z33" i="84" s="1"/>
  <c r="L33" i="84"/>
  <c r="N33" i="84" s="1"/>
  <c r="B33" i="84"/>
  <c r="T32" i="84"/>
  <c r="Z32" i="84" s="1"/>
  <c r="P32" i="84"/>
  <c r="X32" i="84" s="1"/>
  <c r="H32" i="84"/>
  <c r="D32" i="84"/>
  <c r="L32" i="84" s="1"/>
  <c r="N32" i="84" s="1"/>
  <c r="B32" i="84"/>
  <c r="Z31" i="84"/>
  <c r="X31" i="84"/>
  <c r="L31" i="84"/>
  <c r="N31" i="84" s="1"/>
  <c r="B31" i="84"/>
  <c r="Z30" i="84"/>
  <c r="X30" i="84"/>
  <c r="L30" i="84"/>
  <c r="N30" i="84" s="1"/>
  <c r="B30" i="84"/>
  <c r="X29" i="84"/>
  <c r="Z29" i="84" s="1"/>
  <c r="L29" i="84"/>
  <c r="N29" i="84" s="1"/>
  <c r="J29" i="84"/>
  <c r="B29" i="84"/>
  <c r="Z28" i="84"/>
  <c r="X28" i="84"/>
  <c r="L28" i="84"/>
  <c r="N28" i="84" s="1"/>
  <c r="B28" i="84"/>
  <c r="X27" i="84"/>
  <c r="Z27" i="84" s="1"/>
  <c r="N27" i="84"/>
  <c r="L27" i="84"/>
  <c r="B27" i="84"/>
  <c r="X26" i="84"/>
  <c r="Z26" i="84" s="1"/>
  <c r="N26" i="84"/>
  <c r="L26" i="84"/>
  <c r="B26" i="84"/>
  <c r="X25" i="84"/>
  <c r="Z25" i="84" s="1"/>
  <c r="L25" i="84"/>
  <c r="N25" i="84" s="1"/>
  <c r="B25" i="84"/>
  <c r="X24" i="84"/>
  <c r="Z24" i="84" s="1"/>
  <c r="L24" i="84"/>
  <c r="N24" i="84" s="1"/>
  <c r="B24" i="84"/>
  <c r="T23" i="84"/>
  <c r="P23" i="84"/>
  <c r="X23" i="84" s="1"/>
  <c r="Z23" i="84" s="1"/>
  <c r="L23" i="84"/>
  <c r="H23" i="84"/>
  <c r="N23" i="84" s="1"/>
  <c r="D23" i="84"/>
  <c r="B23" i="84"/>
  <c r="T22" i="84"/>
  <c r="P22" i="84"/>
  <c r="H22" i="84"/>
  <c r="N22" i="84" s="1"/>
  <c r="D22" i="84"/>
  <c r="L22" i="84" s="1"/>
  <c r="Z18" i="84"/>
  <c r="X18" i="84"/>
  <c r="N18" i="84"/>
  <c r="L18" i="84"/>
  <c r="B18" i="84"/>
  <c r="Z17" i="84"/>
  <c r="X17" i="84"/>
  <c r="N17" i="84"/>
  <c r="L17" i="84"/>
  <c r="B17" i="84"/>
  <c r="X16" i="84"/>
  <c r="T16" i="84"/>
  <c r="Z16" i="84" s="1"/>
  <c r="P16" i="84"/>
  <c r="H16" i="84"/>
  <c r="D16" i="84"/>
  <c r="T14" i="84"/>
  <c r="Z14" i="84" s="1"/>
  <c r="P14" i="84"/>
  <c r="X14" i="84" s="1"/>
  <c r="N14" i="84"/>
  <c r="L14" i="84"/>
  <c r="H14" i="84"/>
  <c r="D14" i="84"/>
  <c r="D12" i="84" s="1"/>
  <c r="F34" i="84" s="1"/>
  <c r="B14" i="84"/>
  <c r="T13" i="84"/>
  <c r="Z13" i="84" s="1"/>
  <c r="P13" i="84"/>
  <c r="X13" i="84" s="1"/>
  <c r="N13" i="84"/>
  <c r="H13" i="84"/>
  <c r="H12" i="84" s="1"/>
  <c r="D13" i="84"/>
  <c r="L13" i="84" s="1"/>
  <c r="B13" i="84"/>
  <c r="P12" i="84"/>
  <c r="R63" i="84" s="1"/>
  <c r="D6" i="84"/>
  <c r="D4" i="84"/>
  <c r="X29" i="83"/>
  <c r="Z29" i="83" s="1"/>
  <c r="L29" i="83"/>
  <c r="N29" i="83" s="1"/>
  <c r="H27" i="83"/>
  <c r="T25" i="83"/>
  <c r="Z25" i="83" s="1"/>
  <c r="P25" i="83"/>
  <c r="X25" i="83" s="1"/>
  <c r="H25" i="83"/>
  <c r="N25" i="83" s="1"/>
  <c r="D25" i="83"/>
  <c r="L25" i="83" s="1"/>
  <c r="X23" i="83"/>
  <c r="Z23" i="83" s="1"/>
  <c r="L23" i="83"/>
  <c r="N23" i="83" s="1"/>
  <c r="B23" i="83"/>
  <c r="Z22" i="83"/>
  <c r="T22" i="83"/>
  <c r="P22" i="83"/>
  <c r="X22" i="83" s="1"/>
  <c r="N22" i="83"/>
  <c r="L22" i="83"/>
  <c r="J22" i="83"/>
  <c r="H22" i="83"/>
  <c r="D22" i="83"/>
  <c r="B22" i="83"/>
  <c r="X21" i="83"/>
  <c r="Z21" i="83" s="1"/>
  <c r="L21" i="83"/>
  <c r="N21" i="83" s="1"/>
  <c r="B21" i="83"/>
  <c r="V20" i="83"/>
  <c r="T20" i="83"/>
  <c r="P20" i="83"/>
  <c r="X20" i="83" s="1"/>
  <c r="Z20" i="83" s="1"/>
  <c r="H20" i="83"/>
  <c r="D20" i="83"/>
  <c r="B20" i="83"/>
  <c r="T19" i="83"/>
  <c r="P19" i="83"/>
  <c r="X19" i="83" s="1"/>
  <c r="H19" i="83"/>
  <c r="N19" i="83" s="1"/>
  <c r="D19" i="83"/>
  <c r="L19" i="83" s="1"/>
  <c r="H17" i="83"/>
  <c r="T15" i="83"/>
  <c r="Z15" i="83" s="1"/>
  <c r="P15" i="83"/>
  <c r="X15" i="83" s="1"/>
  <c r="H15" i="83"/>
  <c r="N15" i="83" s="1"/>
  <c r="D15" i="83"/>
  <c r="L15" i="83" s="1"/>
  <c r="X13" i="83"/>
  <c r="Z13" i="83" s="1"/>
  <c r="T13" i="83"/>
  <c r="P13" i="83"/>
  <c r="P12" i="83" s="1"/>
  <c r="R21" i="83" s="1"/>
  <c r="H13" i="83"/>
  <c r="D13" i="83"/>
  <c r="L13" i="83" s="1"/>
  <c r="N13" i="83" s="1"/>
  <c r="B13" i="83"/>
  <c r="T12" i="83"/>
  <c r="H12" i="83"/>
  <c r="D6" i="83"/>
  <c r="D4" i="83"/>
  <c r="Z38" i="82"/>
  <c r="X38" i="82"/>
  <c r="N38" i="82"/>
  <c r="L38" i="82"/>
  <c r="Z34" i="82"/>
  <c r="V34" i="82"/>
  <c r="T34" i="82"/>
  <c r="P34" i="82"/>
  <c r="X34" i="82" s="1"/>
  <c r="N34" i="82"/>
  <c r="H34" i="82"/>
  <c r="D34" i="82"/>
  <c r="L34" i="82" s="1"/>
  <c r="X32" i="82"/>
  <c r="Z32" i="82" s="1"/>
  <c r="V32" i="82"/>
  <c r="N32" i="82"/>
  <c r="L32" i="82"/>
  <c r="B32" i="82"/>
  <c r="T31" i="82"/>
  <c r="P31" i="82"/>
  <c r="H31" i="82"/>
  <c r="D31" i="82"/>
  <c r="L31" i="82" s="1"/>
  <c r="B31" i="82"/>
  <c r="Z30" i="82"/>
  <c r="X30" i="82"/>
  <c r="N30" i="82"/>
  <c r="L30" i="82"/>
  <c r="B30" i="82"/>
  <c r="T29" i="82"/>
  <c r="P29" i="82"/>
  <c r="X29" i="82" s="1"/>
  <c r="N29" i="82"/>
  <c r="L29" i="82"/>
  <c r="H29" i="82"/>
  <c r="D29" i="82"/>
  <c r="B29" i="82"/>
  <c r="X28" i="82"/>
  <c r="Z28" i="82" s="1"/>
  <c r="V28" i="82"/>
  <c r="L28" i="82"/>
  <c r="N28" i="82" s="1"/>
  <c r="B28" i="82"/>
  <c r="Z27" i="82"/>
  <c r="X27" i="82"/>
  <c r="T27" i="82"/>
  <c r="P27" i="82"/>
  <c r="J27" i="82"/>
  <c r="H27" i="82"/>
  <c r="D27" i="82"/>
  <c r="B27" i="82"/>
  <c r="X26" i="82"/>
  <c r="Z26" i="82" s="1"/>
  <c r="V26" i="82"/>
  <c r="R26" i="82"/>
  <c r="N26" i="82"/>
  <c r="L26" i="82"/>
  <c r="B26" i="82"/>
  <c r="V25" i="82"/>
  <c r="T25" i="82"/>
  <c r="P25" i="82"/>
  <c r="H25" i="82"/>
  <c r="N25" i="82" s="1"/>
  <c r="F25" i="82"/>
  <c r="D25" i="82"/>
  <c r="L25" i="82" s="1"/>
  <c r="B25" i="82"/>
  <c r="X24" i="82"/>
  <c r="Z24" i="82" s="1"/>
  <c r="L24" i="82"/>
  <c r="N24" i="82" s="1"/>
  <c r="B24" i="82"/>
  <c r="X23" i="82"/>
  <c r="Z23" i="82" s="1"/>
  <c r="R23" i="82"/>
  <c r="N23" i="82"/>
  <c r="L23" i="82"/>
  <c r="B23" i="82"/>
  <c r="Z22" i="82"/>
  <c r="X22" i="82"/>
  <c r="V22" i="82"/>
  <c r="R22" i="82"/>
  <c r="N22" i="82"/>
  <c r="L22" i="82"/>
  <c r="B22" i="82"/>
  <c r="X21" i="82"/>
  <c r="Z21" i="82" s="1"/>
  <c r="V21" i="82"/>
  <c r="R21" i="82"/>
  <c r="N21" i="82"/>
  <c r="L21" i="82"/>
  <c r="B21" i="82"/>
  <c r="X20" i="82"/>
  <c r="Z20" i="82" s="1"/>
  <c r="V20" i="82"/>
  <c r="L20" i="82"/>
  <c r="N20" i="82" s="1"/>
  <c r="B20" i="82"/>
  <c r="Z19" i="82"/>
  <c r="X19" i="82"/>
  <c r="T19" i="82"/>
  <c r="P19" i="82"/>
  <c r="J19" i="82"/>
  <c r="H19" i="82"/>
  <c r="D19" i="82"/>
  <c r="B19" i="82"/>
  <c r="V18" i="82"/>
  <c r="T18" i="82"/>
  <c r="R18" i="82"/>
  <c r="P18" i="82"/>
  <c r="H18" i="82"/>
  <c r="N18" i="82" s="1"/>
  <c r="D18" i="82"/>
  <c r="L18" i="82" s="1"/>
  <c r="R16" i="82"/>
  <c r="P16" i="82"/>
  <c r="P36" i="82" s="1"/>
  <c r="J16" i="82"/>
  <c r="V14" i="82"/>
  <c r="T14" i="82"/>
  <c r="R14" i="82"/>
  <c r="P14" i="82"/>
  <c r="H14" i="82"/>
  <c r="N14" i="82" s="1"/>
  <c r="D14" i="82"/>
  <c r="L14" i="82" s="1"/>
  <c r="Z12" i="82"/>
  <c r="X12" i="82"/>
  <c r="T12" i="82"/>
  <c r="V29" i="82" s="1"/>
  <c r="P12" i="82"/>
  <c r="R36" i="82" s="1"/>
  <c r="H12" i="82"/>
  <c r="D12" i="82"/>
  <c r="D6" i="82"/>
  <c r="D4" i="82"/>
  <c r="Z32" i="81"/>
  <c r="X32" i="81"/>
  <c r="N32" i="81"/>
  <c r="L32" i="81"/>
  <c r="Z28" i="81"/>
  <c r="X28" i="81"/>
  <c r="T28" i="81"/>
  <c r="P28" i="81"/>
  <c r="H28" i="81"/>
  <c r="D28" i="81"/>
  <c r="X26" i="81"/>
  <c r="Z26" i="81" s="1"/>
  <c r="L26" i="81"/>
  <c r="N26" i="81" s="1"/>
  <c r="B26" i="81"/>
  <c r="T25" i="81"/>
  <c r="R25" i="81"/>
  <c r="P25" i="81"/>
  <c r="X25" i="81" s="1"/>
  <c r="H25" i="81"/>
  <c r="N25" i="81" s="1"/>
  <c r="D25" i="81"/>
  <c r="L25" i="81" s="1"/>
  <c r="B25" i="81"/>
  <c r="Z24" i="81"/>
  <c r="X24" i="81"/>
  <c r="L24" i="81"/>
  <c r="N24" i="81" s="1"/>
  <c r="F24" i="81"/>
  <c r="B24" i="81"/>
  <c r="T23" i="81"/>
  <c r="Z23" i="81" s="1"/>
  <c r="P23" i="81"/>
  <c r="X23" i="81" s="1"/>
  <c r="N23" i="81"/>
  <c r="L23" i="81"/>
  <c r="H23" i="81"/>
  <c r="D23" i="81"/>
  <c r="B23" i="81"/>
  <c r="X22" i="81"/>
  <c r="Z22" i="81" s="1"/>
  <c r="N22" i="81"/>
  <c r="L22" i="81"/>
  <c r="B22" i="81"/>
  <c r="Z21" i="81"/>
  <c r="X21" i="81"/>
  <c r="T21" i="81"/>
  <c r="P21" i="81"/>
  <c r="J21" i="81"/>
  <c r="H21" i="81"/>
  <c r="D21" i="81"/>
  <c r="B21" i="81"/>
  <c r="X20" i="81"/>
  <c r="Z20" i="81" s="1"/>
  <c r="R20" i="81"/>
  <c r="N20" i="81"/>
  <c r="L20" i="81"/>
  <c r="B20" i="81"/>
  <c r="V19" i="81"/>
  <c r="T19" i="81"/>
  <c r="P19" i="81"/>
  <c r="H19" i="81"/>
  <c r="F19" i="81"/>
  <c r="D19" i="81"/>
  <c r="L19" i="81" s="1"/>
  <c r="B19" i="81"/>
  <c r="T18" i="81"/>
  <c r="Z18" i="81" s="1"/>
  <c r="R18" i="81"/>
  <c r="P18" i="81"/>
  <c r="X18" i="81" s="1"/>
  <c r="H18" i="81"/>
  <c r="D18" i="81"/>
  <c r="L18" i="81" s="1"/>
  <c r="N18" i="81" s="1"/>
  <c r="J16" i="81"/>
  <c r="H16" i="81"/>
  <c r="F16" i="81"/>
  <c r="T14" i="81"/>
  <c r="Z14" i="81" s="1"/>
  <c r="R14" i="81"/>
  <c r="P14" i="81"/>
  <c r="N14" i="81"/>
  <c r="H14" i="81"/>
  <c r="D14" i="81"/>
  <c r="L14" i="81" s="1"/>
  <c r="X12" i="81"/>
  <c r="T12" i="81"/>
  <c r="V34" i="81" s="1"/>
  <c r="P12" i="81"/>
  <c r="R22" i="81" s="1"/>
  <c r="H12" i="81"/>
  <c r="J32" i="81" s="1"/>
  <c r="D12" i="81"/>
  <c r="F34" i="81" s="1"/>
  <c r="D6" i="81"/>
  <c r="D4" i="81"/>
  <c r="Z61" i="80"/>
  <c r="X61" i="80"/>
  <c r="N61" i="80"/>
  <c r="L61" i="80"/>
  <c r="F61" i="80"/>
  <c r="T57" i="80"/>
  <c r="P57" i="80"/>
  <c r="H57" i="80"/>
  <c r="D57" i="80"/>
  <c r="B57" i="80"/>
  <c r="P56" i="80"/>
  <c r="Z54" i="80"/>
  <c r="X54" i="80"/>
  <c r="V54" i="80"/>
  <c r="N54" i="80"/>
  <c r="L54" i="80"/>
  <c r="B54" i="80"/>
  <c r="Z53" i="80"/>
  <c r="X53" i="80"/>
  <c r="T53" i="80"/>
  <c r="P53" i="80"/>
  <c r="H53" i="80"/>
  <c r="D53" i="80"/>
  <c r="B53" i="80"/>
  <c r="X52" i="80"/>
  <c r="Z52" i="80" s="1"/>
  <c r="N52" i="80"/>
  <c r="L52" i="80"/>
  <c r="B52" i="80"/>
  <c r="T51" i="80"/>
  <c r="P51" i="80"/>
  <c r="H51" i="80"/>
  <c r="N51" i="80" s="1"/>
  <c r="D51" i="80"/>
  <c r="L51" i="80" s="1"/>
  <c r="B51" i="80"/>
  <c r="X50" i="80"/>
  <c r="Z50" i="80" s="1"/>
  <c r="N50" i="80"/>
  <c r="L50" i="80"/>
  <c r="B50" i="80"/>
  <c r="T49" i="80"/>
  <c r="Z49" i="80" s="1"/>
  <c r="P49" i="80"/>
  <c r="X49" i="80" s="1"/>
  <c r="H49" i="80"/>
  <c r="D49" i="80"/>
  <c r="L49" i="80" s="1"/>
  <c r="N49" i="80" s="1"/>
  <c r="B49" i="80"/>
  <c r="Z48" i="80"/>
  <c r="X48" i="80"/>
  <c r="N48" i="80"/>
  <c r="L48" i="80"/>
  <c r="B48" i="80"/>
  <c r="Z47" i="80"/>
  <c r="T47" i="80"/>
  <c r="P47" i="80"/>
  <c r="X47" i="80" s="1"/>
  <c r="N47" i="80"/>
  <c r="L47" i="80"/>
  <c r="H47" i="80"/>
  <c r="D47" i="80"/>
  <c r="B47" i="80"/>
  <c r="Z46" i="80"/>
  <c r="X46" i="80"/>
  <c r="V46" i="80"/>
  <c r="N46" i="80"/>
  <c r="L46" i="80"/>
  <c r="B46" i="80"/>
  <c r="Z45" i="80"/>
  <c r="X45" i="80"/>
  <c r="T45" i="80"/>
  <c r="P45" i="80"/>
  <c r="H45" i="80"/>
  <c r="D45" i="80"/>
  <c r="B45" i="80"/>
  <c r="Z44" i="80"/>
  <c r="X44" i="80"/>
  <c r="N44" i="80"/>
  <c r="L44" i="80"/>
  <c r="B44" i="80"/>
  <c r="X43" i="80"/>
  <c r="Z43" i="80" s="1"/>
  <c r="R43" i="80"/>
  <c r="N43" i="80"/>
  <c r="L43" i="80"/>
  <c r="B43" i="80"/>
  <c r="V42" i="80"/>
  <c r="T42" i="80"/>
  <c r="P42" i="80"/>
  <c r="H42" i="80"/>
  <c r="N42" i="80" s="1"/>
  <c r="F42" i="80"/>
  <c r="D42" i="80"/>
  <c r="L42" i="80" s="1"/>
  <c r="B42" i="80"/>
  <c r="X41" i="80"/>
  <c r="Z41" i="80" s="1"/>
  <c r="L41" i="80"/>
  <c r="N41" i="80" s="1"/>
  <c r="B41" i="80"/>
  <c r="T40" i="80"/>
  <c r="R40" i="80"/>
  <c r="P40" i="80"/>
  <c r="X40" i="80" s="1"/>
  <c r="H40" i="80"/>
  <c r="D40" i="80"/>
  <c r="L40" i="80" s="1"/>
  <c r="B40" i="80"/>
  <c r="Z39" i="80"/>
  <c r="X39" i="80"/>
  <c r="N39" i="80"/>
  <c r="L39" i="80"/>
  <c r="F39" i="80"/>
  <c r="B39" i="80"/>
  <c r="T38" i="80"/>
  <c r="Z38" i="80" s="1"/>
  <c r="P38" i="80"/>
  <c r="X38" i="80" s="1"/>
  <c r="N38" i="80"/>
  <c r="L38" i="80"/>
  <c r="H38" i="80"/>
  <c r="D38" i="80"/>
  <c r="B38" i="80"/>
  <c r="X37" i="80"/>
  <c r="Z37" i="80" s="1"/>
  <c r="L37" i="80"/>
  <c r="N37" i="80" s="1"/>
  <c r="B37" i="80"/>
  <c r="Z36" i="80"/>
  <c r="X36" i="80"/>
  <c r="T36" i="80"/>
  <c r="P36" i="80"/>
  <c r="H36" i="80"/>
  <c r="D36" i="80"/>
  <c r="B36" i="80"/>
  <c r="X35" i="80"/>
  <c r="Z35" i="80" s="1"/>
  <c r="R35" i="80"/>
  <c r="N35" i="80"/>
  <c r="L35" i="80"/>
  <c r="B35" i="80"/>
  <c r="X34" i="80"/>
  <c r="Z34" i="80" s="1"/>
  <c r="V34" i="80"/>
  <c r="L34" i="80"/>
  <c r="N34" i="80" s="1"/>
  <c r="B34" i="80"/>
  <c r="X33" i="80"/>
  <c r="Z33" i="80" s="1"/>
  <c r="T33" i="80"/>
  <c r="P33" i="80"/>
  <c r="H33" i="80"/>
  <c r="D33" i="80"/>
  <c r="B33" i="80"/>
  <c r="X32" i="80"/>
  <c r="Z32" i="80" s="1"/>
  <c r="N32" i="80"/>
  <c r="L32" i="80"/>
  <c r="B32" i="80"/>
  <c r="T31" i="80"/>
  <c r="P31" i="80"/>
  <c r="H31" i="80"/>
  <c r="D31" i="80"/>
  <c r="L31" i="80" s="1"/>
  <c r="B31" i="80"/>
  <c r="X30" i="80"/>
  <c r="Z30" i="80" s="1"/>
  <c r="N30" i="80"/>
  <c r="L30" i="80"/>
  <c r="B30" i="80"/>
  <c r="X29" i="80"/>
  <c r="Z29" i="80" s="1"/>
  <c r="L29" i="80"/>
  <c r="N29" i="80" s="1"/>
  <c r="B29" i="80"/>
  <c r="T28" i="80"/>
  <c r="Z28" i="80" s="1"/>
  <c r="R28" i="80"/>
  <c r="P28" i="80"/>
  <c r="X28" i="80" s="1"/>
  <c r="H28" i="80"/>
  <c r="N28" i="80" s="1"/>
  <c r="D28" i="80"/>
  <c r="L28" i="80" s="1"/>
  <c r="B28" i="80"/>
  <c r="Z27" i="80"/>
  <c r="X27" i="80"/>
  <c r="L27" i="80"/>
  <c r="N27" i="80" s="1"/>
  <c r="F27" i="80"/>
  <c r="B27" i="80"/>
  <c r="X26" i="80"/>
  <c r="Z26" i="80" s="1"/>
  <c r="L26" i="80"/>
  <c r="N26" i="80" s="1"/>
  <c r="B26" i="80"/>
  <c r="Z25" i="80"/>
  <c r="X25" i="80"/>
  <c r="L25" i="80"/>
  <c r="N25" i="80" s="1"/>
  <c r="B25" i="80"/>
  <c r="X24" i="80"/>
  <c r="Z24" i="80" s="1"/>
  <c r="N24" i="80"/>
  <c r="L24" i="80"/>
  <c r="B24" i="80"/>
  <c r="X23" i="80"/>
  <c r="Z23" i="80" s="1"/>
  <c r="R23" i="80"/>
  <c r="N23" i="80"/>
  <c r="L23" i="80"/>
  <c r="B23" i="80"/>
  <c r="X22" i="80"/>
  <c r="Z22" i="80" s="1"/>
  <c r="V22" i="80"/>
  <c r="L22" i="80"/>
  <c r="N22" i="80" s="1"/>
  <c r="B22" i="80"/>
  <c r="X21" i="80"/>
  <c r="Z21" i="80" s="1"/>
  <c r="N21" i="80"/>
  <c r="L21" i="80"/>
  <c r="B21" i="80"/>
  <c r="Z20" i="80"/>
  <c r="X20" i="80"/>
  <c r="L20" i="80"/>
  <c r="N20" i="80" s="1"/>
  <c r="B20" i="80"/>
  <c r="T19" i="80"/>
  <c r="P19" i="80"/>
  <c r="X19" i="80" s="1"/>
  <c r="Z19" i="80" s="1"/>
  <c r="L19" i="80"/>
  <c r="N19" i="80" s="1"/>
  <c r="H19" i="80"/>
  <c r="D19" i="80"/>
  <c r="B19" i="80"/>
  <c r="V18" i="80"/>
  <c r="T18" i="80"/>
  <c r="Z18" i="80" s="1"/>
  <c r="P18" i="80"/>
  <c r="X18" i="80" s="1"/>
  <c r="H18" i="80"/>
  <c r="F18" i="80"/>
  <c r="D18" i="80"/>
  <c r="L18" i="80" s="1"/>
  <c r="P16" i="80"/>
  <c r="V14" i="80"/>
  <c r="T14" i="80"/>
  <c r="Z14" i="80" s="1"/>
  <c r="P14" i="80"/>
  <c r="H14" i="80"/>
  <c r="N14" i="80" s="1"/>
  <c r="F14" i="80"/>
  <c r="D14" i="80"/>
  <c r="L14" i="80" s="1"/>
  <c r="X12" i="80"/>
  <c r="T12" i="80"/>
  <c r="V53" i="80" s="1"/>
  <c r="P12" i="80"/>
  <c r="R63" i="80" s="1"/>
  <c r="H12" i="80"/>
  <c r="D12" i="80"/>
  <c r="F53" i="80" s="1"/>
  <c r="D6" i="80"/>
  <c r="D4" i="80"/>
  <c r="R37" i="79"/>
  <c r="J34" i="79"/>
  <c r="Z32" i="79"/>
  <c r="X32" i="79"/>
  <c r="N32" i="79"/>
  <c r="L32" i="79"/>
  <c r="R30" i="79"/>
  <c r="Z28" i="79"/>
  <c r="X28" i="79"/>
  <c r="T28" i="79"/>
  <c r="P28" i="79"/>
  <c r="J28" i="79"/>
  <c r="H28" i="79"/>
  <c r="N28" i="79" s="1"/>
  <c r="D28" i="79"/>
  <c r="L28" i="79" s="1"/>
  <c r="X26" i="79"/>
  <c r="Z26" i="79" s="1"/>
  <c r="N26" i="79"/>
  <c r="L26" i="79"/>
  <c r="B26" i="79"/>
  <c r="T25" i="79"/>
  <c r="P25" i="79"/>
  <c r="H25" i="79"/>
  <c r="D25" i="79"/>
  <c r="L25" i="79" s="1"/>
  <c r="N25" i="79" s="1"/>
  <c r="B25" i="79"/>
  <c r="X24" i="79"/>
  <c r="Z24" i="79" s="1"/>
  <c r="L24" i="79"/>
  <c r="N24" i="79" s="1"/>
  <c r="J24" i="79"/>
  <c r="B24" i="79"/>
  <c r="T23" i="79"/>
  <c r="P23" i="79"/>
  <c r="X23" i="79" s="1"/>
  <c r="Z23" i="79" s="1"/>
  <c r="H23" i="79"/>
  <c r="D23" i="79"/>
  <c r="L23" i="79" s="1"/>
  <c r="N23" i="79" s="1"/>
  <c r="B23" i="79"/>
  <c r="Z22" i="79"/>
  <c r="X22" i="79"/>
  <c r="N22" i="79"/>
  <c r="L22" i="79"/>
  <c r="B22" i="79"/>
  <c r="T21" i="79"/>
  <c r="P21" i="79"/>
  <c r="X21" i="79" s="1"/>
  <c r="Z21" i="79" s="1"/>
  <c r="L21" i="79"/>
  <c r="N21" i="79" s="1"/>
  <c r="J21" i="79"/>
  <c r="H21" i="79"/>
  <c r="D21" i="79"/>
  <c r="B21" i="79"/>
  <c r="X20" i="79"/>
  <c r="Z20" i="79" s="1"/>
  <c r="V20" i="79"/>
  <c r="R20" i="79"/>
  <c r="L20" i="79"/>
  <c r="N20" i="79" s="1"/>
  <c r="B20" i="79"/>
  <c r="X19" i="79"/>
  <c r="Z19" i="79" s="1"/>
  <c r="V19" i="79"/>
  <c r="T19" i="79"/>
  <c r="P19" i="79"/>
  <c r="H19" i="79"/>
  <c r="D19" i="79"/>
  <c r="B19" i="79"/>
  <c r="T18" i="79"/>
  <c r="R18" i="79"/>
  <c r="P18" i="79"/>
  <c r="X18" i="79" s="1"/>
  <c r="H18" i="79"/>
  <c r="N18" i="79" s="1"/>
  <c r="D18" i="79"/>
  <c r="L18" i="79" s="1"/>
  <c r="J16" i="79"/>
  <c r="H16" i="79"/>
  <c r="H30" i="79" s="1"/>
  <c r="V14" i="79"/>
  <c r="T14" i="79"/>
  <c r="T16" i="79" s="1"/>
  <c r="T30" i="79" s="1"/>
  <c r="R14" i="79"/>
  <c r="P14" i="79"/>
  <c r="X14" i="79" s="1"/>
  <c r="H14" i="79"/>
  <c r="N14" i="79" s="1"/>
  <c r="D14" i="79"/>
  <c r="L14" i="79" s="1"/>
  <c r="Z12" i="79"/>
  <c r="X12" i="79"/>
  <c r="T12" i="79"/>
  <c r="V34" i="79" s="1"/>
  <c r="P12" i="79"/>
  <c r="R25" i="79" s="1"/>
  <c r="H12" i="79"/>
  <c r="J32" i="79" s="1"/>
  <c r="D12" i="79"/>
  <c r="F24" i="79" s="1"/>
  <c r="D6" i="79"/>
  <c r="D4" i="79"/>
  <c r="V55" i="78"/>
  <c r="Z53" i="78"/>
  <c r="X53" i="78"/>
  <c r="N53" i="78"/>
  <c r="L53" i="78"/>
  <c r="V49" i="78"/>
  <c r="T49" i="78"/>
  <c r="Z49" i="78" s="1"/>
  <c r="P49" i="78"/>
  <c r="H49" i="78"/>
  <c r="N49" i="78" s="1"/>
  <c r="F49" i="78"/>
  <c r="D49" i="78"/>
  <c r="L49" i="78" s="1"/>
  <c r="Z47" i="78"/>
  <c r="X47" i="78"/>
  <c r="N47" i="78"/>
  <c r="L47" i="78"/>
  <c r="B47" i="78"/>
  <c r="Z46" i="78"/>
  <c r="T46" i="78"/>
  <c r="P46" i="78"/>
  <c r="X46" i="78" s="1"/>
  <c r="N46" i="78"/>
  <c r="H46" i="78"/>
  <c r="D46" i="78"/>
  <c r="L46" i="78" s="1"/>
  <c r="B46" i="78"/>
  <c r="Z45" i="78"/>
  <c r="X45" i="78"/>
  <c r="N45" i="78"/>
  <c r="L45" i="78"/>
  <c r="B45" i="78"/>
  <c r="T44" i="78"/>
  <c r="P44" i="78"/>
  <c r="X44" i="78" s="1"/>
  <c r="Z44" i="78" s="1"/>
  <c r="L44" i="78"/>
  <c r="N44" i="78" s="1"/>
  <c r="H44" i="78"/>
  <c r="D44" i="78"/>
  <c r="B44" i="78"/>
  <c r="Z43" i="78"/>
  <c r="X43" i="78"/>
  <c r="V43" i="78"/>
  <c r="N43" i="78"/>
  <c r="L43" i="78"/>
  <c r="B43" i="78"/>
  <c r="Z42" i="78"/>
  <c r="X42" i="78"/>
  <c r="T42" i="78"/>
  <c r="P42" i="78"/>
  <c r="H42" i="78"/>
  <c r="D42" i="78"/>
  <c r="B42" i="78"/>
  <c r="Z41" i="78"/>
  <c r="X41" i="78"/>
  <c r="N41" i="78"/>
  <c r="L41" i="78"/>
  <c r="B41" i="78"/>
  <c r="T40" i="78"/>
  <c r="P40" i="78"/>
  <c r="H40" i="78"/>
  <c r="N40" i="78" s="1"/>
  <c r="D40" i="78"/>
  <c r="L40" i="78" s="1"/>
  <c r="B40" i="78"/>
  <c r="Z39" i="78"/>
  <c r="X39" i="78"/>
  <c r="N39" i="78"/>
  <c r="L39" i="78"/>
  <c r="B39" i="78"/>
  <c r="T38" i="78"/>
  <c r="Z38" i="78" s="1"/>
  <c r="P38" i="78"/>
  <c r="X38" i="78" s="1"/>
  <c r="N38" i="78"/>
  <c r="H38" i="78"/>
  <c r="D38" i="78"/>
  <c r="L38" i="78" s="1"/>
  <c r="B38" i="78"/>
  <c r="Z37" i="78"/>
  <c r="X37" i="78"/>
  <c r="N37" i="78"/>
  <c r="L37" i="78"/>
  <c r="B37" i="78"/>
  <c r="T36" i="78"/>
  <c r="P36" i="78"/>
  <c r="X36" i="78" s="1"/>
  <c r="Z36" i="78" s="1"/>
  <c r="L36" i="78"/>
  <c r="N36" i="78" s="1"/>
  <c r="H36" i="78"/>
  <c r="D36" i="78"/>
  <c r="B36" i="78"/>
  <c r="X35" i="78"/>
  <c r="Z35" i="78" s="1"/>
  <c r="V35" i="78"/>
  <c r="N35" i="78"/>
  <c r="L35" i="78"/>
  <c r="B35" i="78"/>
  <c r="X34" i="78"/>
  <c r="Z34" i="78" s="1"/>
  <c r="L34" i="78"/>
  <c r="N34" i="78" s="1"/>
  <c r="B34" i="78"/>
  <c r="Z33" i="78"/>
  <c r="X33" i="78"/>
  <c r="T33" i="78"/>
  <c r="P33" i="78"/>
  <c r="H33" i="78"/>
  <c r="D33" i="78"/>
  <c r="B33" i="78"/>
  <c r="Z32" i="78"/>
  <c r="X32" i="78"/>
  <c r="R32" i="78"/>
  <c r="N32" i="78"/>
  <c r="L32" i="78"/>
  <c r="B32" i="78"/>
  <c r="V31" i="78"/>
  <c r="T31" i="78"/>
  <c r="Z31" i="78" s="1"/>
  <c r="P31" i="78"/>
  <c r="H31" i="78"/>
  <c r="N31" i="78" s="1"/>
  <c r="D31" i="78"/>
  <c r="L31" i="78" s="1"/>
  <c r="B31" i="78"/>
  <c r="Z30" i="78"/>
  <c r="X30" i="78"/>
  <c r="N30" i="78"/>
  <c r="L30" i="78"/>
  <c r="B30" i="78"/>
  <c r="Z29" i="78"/>
  <c r="X29" i="78"/>
  <c r="N29" i="78"/>
  <c r="L29" i="78"/>
  <c r="B29" i="78"/>
  <c r="T28" i="78"/>
  <c r="Z28" i="78" s="1"/>
  <c r="P28" i="78"/>
  <c r="X28" i="78" s="1"/>
  <c r="N28" i="78"/>
  <c r="H28" i="78"/>
  <c r="D28" i="78"/>
  <c r="L28" i="78" s="1"/>
  <c r="B28" i="78"/>
  <c r="Z27" i="78"/>
  <c r="X27" i="78"/>
  <c r="N27" i="78"/>
  <c r="L27" i="78"/>
  <c r="B27" i="78"/>
  <c r="Z26" i="78"/>
  <c r="X26" i="78"/>
  <c r="N26" i="78"/>
  <c r="L26" i="78"/>
  <c r="B26" i="78"/>
  <c r="Z25" i="78"/>
  <c r="X25" i="78"/>
  <c r="N25" i="78"/>
  <c r="L25" i="78"/>
  <c r="B25" i="78"/>
  <c r="Z24" i="78"/>
  <c r="X24" i="78"/>
  <c r="R24" i="78"/>
  <c r="N24" i="78"/>
  <c r="L24" i="78"/>
  <c r="B24" i="78"/>
  <c r="Z23" i="78"/>
  <c r="X23" i="78"/>
  <c r="V23" i="78"/>
  <c r="N23" i="78"/>
  <c r="L23" i="78"/>
  <c r="B23" i="78"/>
  <c r="Z22" i="78"/>
  <c r="X22" i="78"/>
  <c r="V22" i="78"/>
  <c r="N22" i="78"/>
  <c r="L22" i="78"/>
  <c r="B22" i="78"/>
  <c r="Z21" i="78"/>
  <c r="X21" i="78"/>
  <c r="N21" i="78"/>
  <c r="L21" i="78"/>
  <c r="B21" i="78"/>
  <c r="Z20" i="78"/>
  <c r="X20" i="78"/>
  <c r="N20" i="78"/>
  <c r="L20" i="78"/>
  <c r="F20" i="78"/>
  <c r="B20" i="78"/>
  <c r="V19" i="78"/>
  <c r="T19" i="78"/>
  <c r="Z19" i="78" s="1"/>
  <c r="P19" i="78"/>
  <c r="X19" i="78" s="1"/>
  <c r="N19" i="78"/>
  <c r="L19" i="78"/>
  <c r="H19" i="78"/>
  <c r="D19" i="78"/>
  <c r="B19" i="78"/>
  <c r="X18" i="78"/>
  <c r="V18" i="78"/>
  <c r="T18" i="78"/>
  <c r="Z18" i="78" s="1"/>
  <c r="P18" i="78"/>
  <c r="H18" i="78"/>
  <c r="D18" i="78"/>
  <c r="L18" i="78" s="1"/>
  <c r="X16" i="78"/>
  <c r="P16" i="78"/>
  <c r="P51" i="78" s="1"/>
  <c r="V14" i="78"/>
  <c r="T14" i="78"/>
  <c r="T16" i="78" s="1"/>
  <c r="P14" i="78"/>
  <c r="X14" i="78" s="1"/>
  <c r="H14" i="78"/>
  <c r="N14" i="78" s="1"/>
  <c r="D14" i="78"/>
  <c r="Z12" i="78"/>
  <c r="X12" i="78"/>
  <c r="T12" i="78"/>
  <c r="V42" i="78" s="1"/>
  <c r="P12" i="78"/>
  <c r="R43" i="78" s="1"/>
  <c r="H12" i="78"/>
  <c r="D12" i="78"/>
  <c r="F31" i="78" s="1"/>
  <c r="D6" i="78"/>
  <c r="D4" i="78"/>
  <c r="X87" i="77"/>
  <c r="Z87" i="77" s="1"/>
  <c r="N87" i="77"/>
  <c r="L87" i="77"/>
  <c r="T83" i="77"/>
  <c r="Z83" i="77" s="1"/>
  <c r="P83" i="77"/>
  <c r="X83" i="77" s="1"/>
  <c r="N83" i="77"/>
  <c r="L83" i="77"/>
  <c r="H83" i="77"/>
  <c r="D83" i="77"/>
  <c r="X81" i="77"/>
  <c r="Z81" i="77" s="1"/>
  <c r="L81" i="77"/>
  <c r="N81" i="77" s="1"/>
  <c r="B81" i="77"/>
  <c r="X80" i="77"/>
  <c r="Z80" i="77" s="1"/>
  <c r="T80" i="77"/>
  <c r="P80" i="77"/>
  <c r="H80" i="77"/>
  <c r="D80" i="77"/>
  <c r="B80" i="77"/>
  <c r="Z79" i="77"/>
  <c r="X79" i="77"/>
  <c r="N79" i="77"/>
  <c r="L79" i="77"/>
  <c r="B79" i="77"/>
  <c r="T78" i="77"/>
  <c r="P78" i="77"/>
  <c r="H78" i="77"/>
  <c r="D78" i="77"/>
  <c r="L78" i="77" s="1"/>
  <c r="B78" i="77"/>
  <c r="X77" i="77"/>
  <c r="Z77" i="77" s="1"/>
  <c r="N77" i="77"/>
  <c r="L77" i="77"/>
  <c r="B77" i="77"/>
  <c r="T76" i="77"/>
  <c r="P76" i="77"/>
  <c r="X76" i="77" s="1"/>
  <c r="H76" i="77"/>
  <c r="D76" i="77"/>
  <c r="L76" i="77" s="1"/>
  <c r="N76" i="77" s="1"/>
  <c r="B76" i="77"/>
  <c r="Z75" i="77"/>
  <c r="X75" i="77"/>
  <c r="N75" i="77"/>
  <c r="L75" i="77"/>
  <c r="B75" i="77"/>
  <c r="Z74" i="77"/>
  <c r="X74" i="77"/>
  <c r="N74" i="77"/>
  <c r="L74" i="77"/>
  <c r="B74" i="77"/>
  <c r="X73" i="77"/>
  <c r="Z73" i="77" s="1"/>
  <c r="N73" i="77"/>
  <c r="L73" i="77"/>
  <c r="B73" i="77"/>
  <c r="T72" i="77"/>
  <c r="Z72" i="77" s="1"/>
  <c r="P72" i="77"/>
  <c r="X72" i="77" s="1"/>
  <c r="H72" i="77"/>
  <c r="D72" i="77"/>
  <c r="L72" i="77" s="1"/>
  <c r="N72" i="77" s="1"/>
  <c r="B72" i="77"/>
  <c r="Z71" i="77"/>
  <c r="X71" i="77"/>
  <c r="N71" i="77"/>
  <c r="L71" i="77"/>
  <c r="B71" i="77"/>
  <c r="T70" i="77"/>
  <c r="P70" i="77"/>
  <c r="X70" i="77" s="1"/>
  <c r="Z70" i="77" s="1"/>
  <c r="L70" i="77"/>
  <c r="N70" i="77" s="1"/>
  <c r="H70" i="77"/>
  <c r="D70" i="77"/>
  <c r="B70" i="77"/>
  <c r="Z69" i="77"/>
  <c r="X69" i="77"/>
  <c r="L69" i="77"/>
  <c r="N69" i="77" s="1"/>
  <c r="B69" i="77"/>
  <c r="X68" i="77"/>
  <c r="Z68" i="77" s="1"/>
  <c r="L68" i="77"/>
  <c r="N68" i="77" s="1"/>
  <c r="B68" i="77"/>
  <c r="Z67" i="77"/>
  <c r="X67" i="77"/>
  <c r="T67" i="77"/>
  <c r="P67" i="77"/>
  <c r="H67" i="77"/>
  <c r="D67" i="77"/>
  <c r="B67" i="77"/>
  <c r="X66" i="77"/>
  <c r="Z66" i="77" s="1"/>
  <c r="N66" i="77"/>
  <c r="L66" i="77"/>
  <c r="B66" i="77"/>
  <c r="T65" i="77"/>
  <c r="P65" i="77"/>
  <c r="H65" i="77"/>
  <c r="N65" i="77" s="1"/>
  <c r="D65" i="77"/>
  <c r="L65" i="77" s="1"/>
  <c r="B65" i="77"/>
  <c r="X64" i="77"/>
  <c r="Z64" i="77" s="1"/>
  <c r="L64" i="77"/>
  <c r="N64" i="77" s="1"/>
  <c r="B64" i="77"/>
  <c r="T63" i="77"/>
  <c r="Z63" i="77" s="1"/>
  <c r="P63" i="77"/>
  <c r="X63" i="77" s="1"/>
  <c r="H63" i="77"/>
  <c r="D63" i="77"/>
  <c r="L63" i="77" s="1"/>
  <c r="B63" i="77"/>
  <c r="Z62" i="77"/>
  <c r="X62" i="77"/>
  <c r="L62" i="77"/>
  <c r="N62" i="77" s="1"/>
  <c r="B62" i="77"/>
  <c r="T61" i="77"/>
  <c r="P61" i="77"/>
  <c r="X61" i="77" s="1"/>
  <c r="N61" i="77"/>
  <c r="L61" i="77"/>
  <c r="H61" i="77"/>
  <c r="D61" i="77"/>
  <c r="B61" i="77"/>
  <c r="Z60" i="77"/>
  <c r="X60" i="77"/>
  <c r="N60" i="77"/>
  <c r="L60" i="77"/>
  <c r="B60" i="77"/>
  <c r="Z59" i="77"/>
  <c r="X59" i="77"/>
  <c r="T59" i="77"/>
  <c r="P59" i="77"/>
  <c r="H59" i="77"/>
  <c r="N59" i="77" s="1"/>
  <c r="D59" i="77"/>
  <c r="B59" i="77"/>
  <c r="X58" i="77"/>
  <c r="Z58" i="77" s="1"/>
  <c r="N58" i="77"/>
  <c r="L58" i="77"/>
  <c r="B58" i="77"/>
  <c r="T57" i="77"/>
  <c r="P57" i="77"/>
  <c r="H57" i="77"/>
  <c r="D57" i="77"/>
  <c r="L57" i="77" s="1"/>
  <c r="B57" i="77"/>
  <c r="Z56" i="77"/>
  <c r="X56" i="77"/>
  <c r="L56" i="77"/>
  <c r="N56" i="77" s="1"/>
  <c r="B56" i="77"/>
  <c r="T55" i="77"/>
  <c r="P55" i="77"/>
  <c r="X55" i="77" s="1"/>
  <c r="H55" i="77"/>
  <c r="D55" i="77"/>
  <c r="L55" i="77" s="1"/>
  <c r="B55" i="77"/>
  <c r="Z54" i="77"/>
  <c r="X54" i="77"/>
  <c r="N54" i="77"/>
  <c r="L54" i="77"/>
  <c r="B54" i="77"/>
  <c r="T53" i="77"/>
  <c r="Z53" i="77" s="1"/>
  <c r="P53" i="77"/>
  <c r="X53" i="77" s="1"/>
  <c r="N53" i="77"/>
  <c r="L53" i="77"/>
  <c r="H53" i="77"/>
  <c r="D53" i="77"/>
  <c r="B53" i="77"/>
  <c r="Z52" i="77"/>
  <c r="X52" i="77"/>
  <c r="N52" i="77"/>
  <c r="L52" i="77"/>
  <c r="B52" i="77"/>
  <c r="Z51" i="77"/>
  <c r="X51" i="77"/>
  <c r="N51" i="77"/>
  <c r="L51" i="77"/>
  <c r="B51" i="77"/>
  <c r="Z50" i="77"/>
  <c r="X50" i="77"/>
  <c r="L50" i="77"/>
  <c r="N50" i="77" s="1"/>
  <c r="B50" i="77"/>
  <c r="X49" i="77"/>
  <c r="Z49" i="77" s="1"/>
  <c r="L49" i="77"/>
  <c r="N49" i="77" s="1"/>
  <c r="B49" i="77"/>
  <c r="Z48" i="77"/>
  <c r="X48" i="77"/>
  <c r="L48" i="77"/>
  <c r="N48" i="77" s="1"/>
  <c r="B48" i="77"/>
  <c r="T47" i="77"/>
  <c r="P47" i="77"/>
  <c r="X47" i="77" s="1"/>
  <c r="H47" i="77"/>
  <c r="D47" i="77"/>
  <c r="L47" i="77" s="1"/>
  <c r="B47" i="77"/>
  <c r="Z46" i="77"/>
  <c r="X46" i="77"/>
  <c r="L46" i="77"/>
  <c r="N46" i="77" s="1"/>
  <c r="B46" i="77"/>
  <c r="X45" i="77"/>
  <c r="Z45" i="77" s="1"/>
  <c r="L45" i="77"/>
  <c r="N45" i="77" s="1"/>
  <c r="B45" i="77"/>
  <c r="Z44" i="77"/>
  <c r="X44" i="77"/>
  <c r="L44" i="77"/>
  <c r="N44" i="77" s="1"/>
  <c r="B44" i="77"/>
  <c r="X43" i="77"/>
  <c r="Z43" i="77" s="1"/>
  <c r="N43" i="77"/>
  <c r="L43" i="77"/>
  <c r="B43" i="77"/>
  <c r="X42" i="77"/>
  <c r="Z42" i="77" s="1"/>
  <c r="N42" i="77"/>
  <c r="L42" i="77"/>
  <c r="B42" i="77"/>
  <c r="X41" i="77"/>
  <c r="Z41" i="77" s="1"/>
  <c r="L41" i="77"/>
  <c r="N41" i="77" s="1"/>
  <c r="B41" i="77"/>
  <c r="X40" i="77"/>
  <c r="Z40" i="77" s="1"/>
  <c r="N40" i="77"/>
  <c r="L40" i="77"/>
  <c r="B40" i="77"/>
  <c r="Z39" i="77"/>
  <c r="X39" i="77"/>
  <c r="L39" i="77"/>
  <c r="N39" i="77" s="1"/>
  <c r="B39" i="77"/>
  <c r="T38" i="77"/>
  <c r="P38" i="77"/>
  <c r="X38" i="77" s="1"/>
  <c r="Z38" i="77" s="1"/>
  <c r="L38" i="77"/>
  <c r="N38" i="77" s="1"/>
  <c r="H38" i="77"/>
  <c r="D38" i="77"/>
  <c r="B38" i="77"/>
  <c r="T37" i="77"/>
  <c r="Z37" i="77" s="1"/>
  <c r="P37" i="77"/>
  <c r="X37" i="77" s="1"/>
  <c r="H37" i="77"/>
  <c r="D37" i="77"/>
  <c r="L37" i="77" s="1"/>
  <c r="X33" i="77"/>
  <c r="Z33" i="77" s="1"/>
  <c r="L33" i="77"/>
  <c r="N33" i="77" s="1"/>
  <c r="B33" i="77"/>
  <c r="X32" i="77"/>
  <c r="Z32" i="77" s="1"/>
  <c r="T32" i="77"/>
  <c r="P32" i="77"/>
  <c r="H32" i="77"/>
  <c r="D32" i="77"/>
  <c r="T30" i="77"/>
  <c r="P30" i="77"/>
  <c r="X30" i="77" s="1"/>
  <c r="Z30" i="77" s="1"/>
  <c r="L30" i="77"/>
  <c r="H30" i="77"/>
  <c r="D30" i="77"/>
  <c r="B30" i="77"/>
  <c r="T29" i="77"/>
  <c r="P29" i="77"/>
  <c r="X29" i="77" s="1"/>
  <c r="N29" i="77"/>
  <c r="L29" i="77"/>
  <c r="H29" i="77"/>
  <c r="D29" i="77"/>
  <c r="B29" i="77"/>
  <c r="T28" i="77"/>
  <c r="P28" i="77"/>
  <c r="X28" i="77" s="1"/>
  <c r="H28" i="77"/>
  <c r="D28" i="77"/>
  <c r="L28" i="77" s="1"/>
  <c r="N28" i="77" s="1"/>
  <c r="B28" i="77"/>
  <c r="T27" i="77"/>
  <c r="P27" i="77"/>
  <c r="L27" i="77"/>
  <c r="H27" i="77"/>
  <c r="N27" i="77" s="1"/>
  <c r="D27" i="77"/>
  <c r="B27" i="77"/>
  <c r="X26" i="77"/>
  <c r="T26" i="77"/>
  <c r="Z26" i="77" s="1"/>
  <c r="P26" i="77"/>
  <c r="H26" i="77"/>
  <c r="D26" i="77"/>
  <c r="L26" i="77" s="1"/>
  <c r="N26" i="77" s="1"/>
  <c r="B26" i="77"/>
  <c r="Z25" i="77"/>
  <c r="X25" i="77"/>
  <c r="T25" i="77"/>
  <c r="P25" i="77"/>
  <c r="H25" i="77"/>
  <c r="N25" i="77" s="1"/>
  <c r="D25" i="77"/>
  <c r="L25" i="77" s="1"/>
  <c r="B25" i="77"/>
  <c r="T24" i="77"/>
  <c r="P24" i="77"/>
  <c r="X24" i="77" s="1"/>
  <c r="Z24" i="77" s="1"/>
  <c r="H24" i="77"/>
  <c r="N24" i="77" s="1"/>
  <c r="D24" i="77"/>
  <c r="L24" i="77" s="1"/>
  <c r="B24" i="77"/>
  <c r="X23" i="77"/>
  <c r="T23" i="77"/>
  <c r="Z23" i="77" s="1"/>
  <c r="P23" i="77"/>
  <c r="H23" i="77"/>
  <c r="D23" i="77"/>
  <c r="L23" i="77" s="1"/>
  <c r="B23" i="77"/>
  <c r="T22" i="77"/>
  <c r="P22" i="77"/>
  <c r="X22" i="77" s="1"/>
  <c r="Z22" i="77" s="1"/>
  <c r="L22" i="77"/>
  <c r="H22" i="77"/>
  <c r="D22" i="77"/>
  <c r="B22" i="77"/>
  <c r="T21" i="77"/>
  <c r="Z21" i="77" s="1"/>
  <c r="P21" i="77"/>
  <c r="X21" i="77" s="1"/>
  <c r="N21" i="77"/>
  <c r="L21" i="77"/>
  <c r="H21" i="77"/>
  <c r="D21" i="77"/>
  <c r="B21" i="77"/>
  <c r="T20" i="77"/>
  <c r="Z20" i="77" s="1"/>
  <c r="P20" i="77"/>
  <c r="X20" i="77" s="1"/>
  <c r="N20" i="77"/>
  <c r="H20" i="77"/>
  <c r="D20" i="77"/>
  <c r="L20" i="77" s="1"/>
  <c r="B20" i="77"/>
  <c r="T19" i="77"/>
  <c r="P19" i="77"/>
  <c r="X19" i="77" s="1"/>
  <c r="L19" i="77"/>
  <c r="H19" i="77"/>
  <c r="N19" i="77" s="1"/>
  <c r="D19" i="77"/>
  <c r="B19" i="77"/>
  <c r="X18" i="77"/>
  <c r="T18" i="77"/>
  <c r="P18" i="77"/>
  <c r="H18" i="77"/>
  <c r="D18" i="77"/>
  <c r="L18" i="77" s="1"/>
  <c r="N18" i="77" s="1"/>
  <c r="B18" i="77"/>
  <c r="Z17" i="77"/>
  <c r="X17" i="77"/>
  <c r="T17" i="77"/>
  <c r="P17" i="77"/>
  <c r="H17" i="77"/>
  <c r="D17" i="77"/>
  <c r="L17" i="77" s="1"/>
  <c r="B17" i="77"/>
  <c r="T16" i="77"/>
  <c r="P16" i="77"/>
  <c r="X16" i="77" s="1"/>
  <c r="Z16" i="77" s="1"/>
  <c r="H16" i="77"/>
  <c r="D16" i="77"/>
  <c r="L16" i="77" s="1"/>
  <c r="B16" i="77"/>
  <c r="X15" i="77"/>
  <c r="T15" i="77"/>
  <c r="Z15" i="77" s="1"/>
  <c r="P15" i="77"/>
  <c r="H15" i="77"/>
  <c r="D15" i="77"/>
  <c r="B15" i="77"/>
  <c r="T14" i="77"/>
  <c r="P14" i="77"/>
  <c r="X14" i="77" s="1"/>
  <c r="Z14" i="77" s="1"/>
  <c r="L14" i="77"/>
  <c r="H14" i="77"/>
  <c r="D14" i="77"/>
  <c r="B14" i="77"/>
  <c r="T13" i="77"/>
  <c r="Z13" i="77" s="1"/>
  <c r="P13" i="77"/>
  <c r="X13" i="77" s="1"/>
  <c r="N13" i="77"/>
  <c r="L13" i="77"/>
  <c r="H13" i="77"/>
  <c r="D13" i="77"/>
  <c r="B13" i="77"/>
  <c r="P12" i="77"/>
  <c r="D6" i="77"/>
  <c r="D4" i="77"/>
  <c r="Z50" i="76"/>
  <c r="X50" i="76"/>
  <c r="N50" i="76"/>
  <c r="L50" i="76"/>
  <c r="Z46" i="76"/>
  <c r="T46" i="76"/>
  <c r="P46" i="76"/>
  <c r="X46" i="76" s="1"/>
  <c r="N46" i="76"/>
  <c r="H46" i="76"/>
  <c r="D46" i="76"/>
  <c r="L46" i="76" s="1"/>
  <c r="Z44" i="76"/>
  <c r="X44" i="76"/>
  <c r="N44" i="76"/>
  <c r="L44" i="76"/>
  <c r="B44" i="76"/>
  <c r="Z43" i="76"/>
  <c r="X43" i="76"/>
  <c r="T43" i="76"/>
  <c r="P43" i="76"/>
  <c r="J43" i="76"/>
  <c r="H43" i="76"/>
  <c r="N43" i="76" s="1"/>
  <c r="D43" i="76"/>
  <c r="B43" i="76"/>
  <c r="X42" i="76"/>
  <c r="Z42" i="76" s="1"/>
  <c r="R42" i="76"/>
  <c r="N42" i="76"/>
  <c r="L42" i="76"/>
  <c r="B42" i="76"/>
  <c r="V41" i="76"/>
  <c r="T41" i="76"/>
  <c r="P41" i="76"/>
  <c r="H41" i="76"/>
  <c r="F41" i="76"/>
  <c r="D41" i="76"/>
  <c r="L41" i="76" s="1"/>
  <c r="B41" i="76"/>
  <c r="Z40" i="76"/>
  <c r="X40" i="76"/>
  <c r="N40" i="76"/>
  <c r="L40" i="76"/>
  <c r="B40" i="76"/>
  <c r="T39" i="76"/>
  <c r="Z39" i="76" s="1"/>
  <c r="R39" i="76"/>
  <c r="P39" i="76"/>
  <c r="X39" i="76" s="1"/>
  <c r="H39" i="76"/>
  <c r="N39" i="76" s="1"/>
  <c r="D39" i="76"/>
  <c r="L39" i="76" s="1"/>
  <c r="B39" i="76"/>
  <c r="Z38" i="76"/>
  <c r="X38" i="76"/>
  <c r="L38" i="76"/>
  <c r="N38" i="76" s="1"/>
  <c r="F38" i="76"/>
  <c r="B38" i="76"/>
  <c r="T37" i="76"/>
  <c r="Z37" i="76" s="1"/>
  <c r="P37" i="76"/>
  <c r="X37" i="76" s="1"/>
  <c r="N37" i="76"/>
  <c r="L37" i="76"/>
  <c r="H37" i="76"/>
  <c r="D37" i="76"/>
  <c r="B37" i="76"/>
  <c r="X36" i="76"/>
  <c r="Z36" i="76" s="1"/>
  <c r="N36" i="76"/>
  <c r="L36" i="76"/>
  <c r="B36" i="76"/>
  <c r="Z35" i="76"/>
  <c r="X35" i="76"/>
  <c r="T35" i="76"/>
  <c r="P35" i="76"/>
  <c r="J35" i="76"/>
  <c r="H35" i="76"/>
  <c r="D35" i="76"/>
  <c r="B35" i="76"/>
  <c r="X34" i="76"/>
  <c r="Z34" i="76" s="1"/>
  <c r="R34" i="76"/>
  <c r="N34" i="76"/>
  <c r="L34" i="76"/>
  <c r="B34" i="76"/>
  <c r="V33" i="76"/>
  <c r="T33" i="76"/>
  <c r="P33" i="76"/>
  <c r="H33" i="76"/>
  <c r="F33" i="76"/>
  <c r="D33" i="76"/>
  <c r="L33" i="76" s="1"/>
  <c r="B33" i="76"/>
  <c r="Z32" i="76"/>
  <c r="X32" i="76"/>
  <c r="L32" i="76"/>
  <c r="N32" i="76" s="1"/>
  <c r="B32" i="76"/>
  <c r="Z31" i="76"/>
  <c r="X31" i="76"/>
  <c r="N31" i="76"/>
  <c r="L31" i="76"/>
  <c r="B31" i="76"/>
  <c r="T30" i="76"/>
  <c r="P30" i="76"/>
  <c r="H30" i="76"/>
  <c r="F30" i="76"/>
  <c r="D30" i="76"/>
  <c r="L30" i="76" s="1"/>
  <c r="N30" i="76" s="1"/>
  <c r="B30" i="76"/>
  <c r="Z29" i="76"/>
  <c r="X29" i="76"/>
  <c r="N29" i="76"/>
  <c r="L29" i="76"/>
  <c r="J29" i="76"/>
  <c r="F29" i="76"/>
  <c r="B29" i="76"/>
  <c r="Z28" i="76"/>
  <c r="T28" i="76"/>
  <c r="P28" i="76"/>
  <c r="X28" i="76" s="1"/>
  <c r="N28" i="76"/>
  <c r="H28" i="76"/>
  <c r="D28" i="76"/>
  <c r="L28" i="76" s="1"/>
  <c r="B28" i="76"/>
  <c r="Z27" i="76"/>
  <c r="X27" i="76"/>
  <c r="N27" i="76"/>
  <c r="L27" i="76"/>
  <c r="F27" i="76"/>
  <c r="B27" i="76"/>
  <c r="T26" i="76"/>
  <c r="P26" i="76"/>
  <c r="X26" i="76" s="1"/>
  <c r="Z26" i="76" s="1"/>
  <c r="L26" i="76"/>
  <c r="N26" i="76" s="1"/>
  <c r="H26" i="76"/>
  <c r="D26" i="76"/>
  <c r="B26" i="76"/>
  <c r="X25" i="76"/>
  <c r="Z25" i="76" s="1"/>
  <c r="V25" i="76"/>
  <c r="L25" i="76"/>
  <c r="N25" i="76" s="1"/>
  <c r="B25" i="76"/>
  <c r="X24" i="76"/>
  <c r="Z24" i="76" s="1"/>
  <c r="N24" i="76"/>
  <c r="L24" i="76"/>
  <c r="B24" i="76"/>
  <c r="Z23" i="76"/>
  <c r="X23" i="76"/>
  <c r="N23" i="76"/>
  <c r="L23" i="76"/>
  <c r="F23" i="76"/>
  <c r="B23" i="76"/>
  <c r="Z22" i="76"/>
  <c r="X22" i="76"/>
  <c r="L22" i="76"/>
  <c r="N22" i="76" s="1"/>
  <c r="J22" i="76"/>
  <c r="F22" i="76"/>
  <c r="B22" i="76"/>
  <c r="X21" i="76"/>
  <c r="Z21" i="76" s="1"/>
  <c r="L21" i="76"/>
  <c r="N21" i="76" s="1"/>
  <c r="J21" i="76"/>
  <c r="F21" i="76"/>
  <c r="B21" i="76"/>
  <c r="T20" i="76"/>
  <c r="P20" i="76"/>
  <c r="X20" i="76" s="1"/>
  <c r="Z20" i="76" s="1"/>
  <c r="H20" i="76"/>
  <c r="D20" i="76"/>
  <c r="L20" i="76" s="1"/>
  <c r="N20" i="76" s="1"/>
  <c r="B20" i="76"/>
  <c r="Z19" i="76"/>
  <c r="X19" i="76"/>
  <c r="T19" i="76"/>
  <c r="P19" i="76"/>
  <c r="J19" i="76"/>
  <c r="H19" i="76"/>
  <c r="D19" i="76"/>
  <c r="R17" i="76"/>
  <c r="D17" i="76"/>
  <c r="D48" i="76" s="1"/>
  <c r="Z15" i="76"/>
  <c r="X15" i="76"/>
  <c r="N15" i="76"/>
  <c r="L15" i="76"/>
  <c r="F15" i="76"/>
  <c r="B15" i="76"/>
  <c r="Z14" i="76"/>
  <c r="T14" i="76"/>
  <c r="P14" i="76"/>
  <c r="X14" i="76" s="1"/>
  <c r="N14" i="76"/>
  <c r="L14" i="76"/>
  <c r="J14" i="76"/>
  <c r="H14" i="76"/>
  <c r="F14" i="76"/>
  <c r="D14" i="76"/>
  <c r="T12" i="76"/>
  <c r="V55" i="76" s="1"/>
  <c r="P12" i="76"/>
  <c r="N12" i="76"/>
  <c r="H12" i="76"/>
  <c r="J40" i="76" s="1"/>
  <c r="D12" i="76"/>
  <c r="F55" i="76" s="1"/>
  <c r="D6" i="76"/>
  <c r="D4" i="76"/>
  <c r="X31" i="75"/>
  <c r="Z31" i="75" s="1"/>
  <c r="N31" i="75"/>
  <c r="L31" i="75"/>
  <c r="Z27" i="75"/>
  <c r="T27" i="75"/>
  <c r="P27" i="75"/>
  <c r="X27" i="75" s="1"/>
  <c r="N27" i="75"/>
  <c r="H27" i="75"/>
  <c r="D27" i="75"/>
  <c r="L27" i="75" s="1"/>
  <c r="Z25" i="75"/>
  <c r="X25" i="75"/>
  <c r="T25" i="75"/>
  <c r="P25" i="75"/>
  <c r="H25" i="75"/>
  <c r="D25" i="75"/>
  <c r="X21" i="75"/>
  <c r="Z21" i="75" s="1"/>
  <c r="N21" i="75"/>
  <c r="L21" i="75"/>
  <c r="B21" i="75"/>
  <c r="Z20" i="75"/>
  <c r="X20" i="75"/>
  <c r="L20" i="75"/>
  <c r="N20" i="75" s="1"/>
  <c r="B20" i="75"/>
  <c r="Z19" i="75"/>
  <c r="X19" i="75"/>
  <c r="N19" i="75"/>
  <c r="L19" i="75"/>
  <c r="B19" i="75"/>
  <c r="T18" i="75"/>
  <c r="Z18" i="75" s="1"/>
  <c r="P18" i="75"/>
  <c r="X18" i="75" s="1"/>
  <c r="N18" i="75"/>
  <c r="L18" i="75"/>
  <c r="H18" i="75"/>
  <c r="D18" i="75"/>
  <c r="T16" i="75"/>
  <c r="P16" i="75"/>
  <c r="L16" i="75"/>
  <c r="H16" i="75"/>
  <c r="N16" i="75" s="1"/>
  <c r="D16" i="75"/>
  <c r="B16" i="75"/>
  <c r="X15" i="75"/>
  <c r="T15" i="75"/>
  <c r="Z15" i="75" s="1"/>
  <c r="P15" i="75"/>
  <c r="H15" i="75"/>
  <c r="D15" i="75"/>
  <c r="L15" i="75" s="1"/>
  <c r="N15" i="75" s="1"/>
  <c r="B15" i="75"/>
  <c r="Z14" i="75"/>
  <c r="X14" i="75"/>
  <c r="T14" i="75"/>
  <c r="P14" i="75"/>
  <c r="P12" i="75" s="1"/>
  <c r="H14" i="75"/>
  <c r="N14" i="75" s="1"/>
  <c r="D14" i="75"/>
  <c r="L14" i="75" s="1"/>
  <c r="B14" i="75"/>
  <c r="Z13" i="75"/>
  <c r="T13" i="75"/>
  <c r="P13" i="75"/>
  <c r="X13" i="75" s="1"/>
  <c r="H13" i="75"/>
  <c r="N13" i="75" s="1"/>
  <c r="D13" i="75"/>
  <c r="B13" i="75"/>
  <c r="H12" i="75"/>
  <c r="D6" i="75"/>
  <c r="D4" i="75"/>
  <c r="R44" i="74"/>
  <c r="J41" i="74"/>
  <c r="Z39" i="74"/>
  <c r="X39" i="74"/>
  <c r="N39" i="74"/>
  <c r="L39" i="74"/>
  <c r="R37" i="74"/>
  <c r="Z35" i="74"/>
  <c r="X35" i="74"/>
  <c r="T35" i="74"/>
  <c r="P35" i="74"/>
  <c r="J35" i="74"/>
  <c r="H35" i="74"/>
  <c r="N35" i="74" s="1"/>
  <c r="D35" i="74"/>
  <c r="X33" i="74"/>
  <c r="Z33" i="74" s="1"/>
  <c r="N33" i="74"/>
  <c r="L33" i="74"/>
  <c r="B33" i="74"/>
  <c r="T32" i="74"/>
  <c r="P32" i="74"/>
  <c r="H32" i="74"/>
  <c r="D32" i="74"/>
  <c r="L32" i="74" s="1"/>
  <c r="N32" i="74" s="1"/>
  <c r="B32" i="74"/>
  <c r="X31" i="74"/>
  <c r="Z31" i="74" s="1"/>
  <c r="L31" i="74"/>
  <c r="N31" i="74" s="1"/>
  <c r="J31" i="74"/>
  <c r="F31" i="74"/>
  <c r="B31" i="74"/>
  <c r="T30" i="74"/>
  <c r="P30" i="74"/>
  <c r="X30" i="74" s="1"/>
  <c r="Z30" i="74" s="1"/>
  <c r="H30" i="74"/>
  <c r="D30" i="74"/>
  <c r="L30" i="74" s="1"/>
  <c r="N30" i="74" s="1"/>
  <c r="B30" i="74"/>
  <c r="Z29" i="74"/>
  <c r="X29" i="74"/>
  <c r="N29" i="74"/>
  <c r="L29" i="74"/>
  <c r="F29" i="74"/>
  <c r="B29" i="74"/>
  <c r="T28" i="74"/>
  <c r="P28" i="74"/>
  <c r="X28" i="74" s="1"/>
  <c r="Z28" i="74" s="1"/>
  <c r="L28" i="74"/>
  <c r="N28" i="74" s="1"/>
  <c r="H28" i="74"/>
  <c r="D28" i="74"/>
  <c r="B28" i="74"/>
  <c r="X27" i="74"/>
  <c r="Z27" i="74" s="1"/>
  <c r="V27" i="74"/>
  <c r="R27" i="74"/>
  <c r="L27" i="74"/>
  <c r="N27" i="74" s="1"/>
  <c r="B27" i="74"/>
  <c r="X26" i="74"/>
  <c r="Z26" i="74" s="1"/>
  <c r="V26" i="74"/>
  <c r="T26" i="74"/>
  <c r="P26" i="74"/>
  <c r="H26" i="74"/>
  <c r="F26" i="74"/>
  <c r="D26" i="74"/>
  <c r="B26" i="74"/>
  <c r="Z25" i="74"/>
  <c r="X25" i="74"/>
  <c r="R25" i="74"/>
  <c r="N25" i="74"/>
  <c r="L25" i="74"/>
  <c r="B25" i="74"/>
  <c r="X24" i="74"/>
  <c r="Z24" i="74" s="1"/>
  <c r="V24" i="74"/>
  <c r="R24" i="74"/>
  <c r="N24" i="74"/>
  <c r="L24" i="74"/>
  <c r="B24" i="74"/>
  <c r="X23" i="74"/>
  <c r="Z23" i="74" s="1"/>
  <c r="V23" i="74"/>
  <c r="R23" i="74"/>
  <c r="L23" i="74"/>
  <c r="N23" i="74" s="1"/>
  <c r="B23" i="74"/>
  <c r="X22" i="74"/>
  <c r="Z22" i="74" s="1"/>
  <c r="V22" i="74"/>
  <c r="N22" i="74"/>
  <c r="L22" i="74"/>
  <c r="B22" i="74"/>
  <c r="Z21" i="74"/>
  <c r="X21" i="74"/>
  <c r="N21" i="74"/>
  <c r="L21" i="74"/>
  <c r="F21" i="74"/>
  <c r="B21" i="74"/>
  <c r="T20" i="74"/>
  <c r="P20" i="74"/>
  <c r="X20" i="74" s="1"/>
  <c r="Z20" i="74" s="1"/>
  <c r="L20" i="74"/>
  <c r="N20" i="74" s="1"/>
  <c r="H20" i="74"/>
  <c r="D20" i="74"/>
  <c r="B20" i="74"/>
  <c r="V19" i="74"/>
  <c r="T19" i="74"/>
  <c r="P19" i="74"/>
  <c r="H19" i="74"/>
  <c r="F19" i="74"/>
  <c r="D19" i="74"/>
  <c r="L19" i="74" s="1"/>
  <c r="V17" i="74"/>
  <c r="P17" i="74"/>
  <c r="P37" i="74" s="1"/>
  <c r="F17" i="74"/>
  <c r="X15" i="74"/>
  <c r="Z15" i="74" s="1"/>
  <c r="V15" i="74"/>
  <c r="R15" i="74"/>
  <c r="L15" i="74"/>
  <c r="N15" i="74" s="1"/>
  <c r="B15" i="74"/>
  <c r="X14" i="74"/>
  <c r="Z14" i="74" s="1"/>
  <c r="V14" i="74"/>
  <c r="T14" i="74"/>
  <c r="P14" i="74"/>
  <c r="H14" i="74"/>
  <c r="F14" i="74"/>
  <c r="D14" i="74"/>
  <c r="Z12" i="74"/>
  <c r="T12" i="74"/>
  <c r="V41" i="74" s="1"/>
  <c r="P12" i="74"/>
  <c r="R32" i="74" s="1"/>
  <c r="L12" i="74"/>
  <c r="H12" i="74"/>
  <c r="J28" i="74" s="1"/>
  <c r="D12" i="74"/>
  <c r="F41" i="74" s="1"/>
  <c r="D6" i="74"/>
  <c r="D4" i="74"/>
  <c r="Z46" i="73"/>
  <c r="X46" i="73"/>
  <c r="R46" i="73"/>
  <c r="N46" i="73"/>
  <c r="L46" i="73"/>
  <c r="T44" i="73"/>
  <c r="Z42" i="73"/>
  <c r="T42" i="73"/>
  <c r="P42" i="73"/>
  <c r="X42" i="73" s="1"/>
  <c r="N42" i="73"/>
  <c r="L42" i="73"/>
  <c r="H42" i="73"/>
  <c r="D42" i="73"/>
  <c r="X40" i="73"/>
  <c r="Z40" i="73" s="1"/>
  <c r="R40" i="73"/>
  <c r="N40" i="73"/>
  <c r="L40" i="73"/>
  <c r="B40" i="73"/>
  <c r="V39" i="73"/>
  <c r="T39" i="73"/>
  <c r="P39" i="73"/>
  <c r="H39" i="73"/>
  <c r="N39" i="73" s="1"/>
  <c r="D39" i="73"/>
  <c r="L39" i="73" s="1"/>
  <c r="B39" i="73"/>
  <c r="Z38" i="73"/>
  <c r="X38" i="73"/>
  <c r="L38" i="73"/>
  <c r="N38" i="73" s="1"/>
  <c r="B38" i="73"/>
  <c r="T37" i="73"/>
  <c r="Z37" i="73" s="1"/>
  <c r="R37" i="73"/>
  <c r="P37" i="73"/>
  <c r="X37" i="73" s="1"/>
  <c r="H37" i="73"/>
  <c r="N37" i="73" s="1"/>
  <c r="D37" i="73"/>
  <c r="L37" i="73" s="1"/>
  <c r="B37" i="73"/>
  <c r="Z36" i="73"/>
  <c r="X36" i="73"/>
  <c r="N36" i="73"/>
  <c r="L36" i="73"/>
  <c r="F36" i="73"/>
  <c r="B36" i="73"/>
  <c r="X35" i="73"/>
  <c r="Z35" i="73" s="1"/>
  <c r="L35" i="73"/>
  <c r="N35" i="73" s="1"/>
  <c r="B35" i="73"/>
  <c r="T34" i="73"/>
  <c r="P34" i="73"/>
  <c r="X34" i="73" s="1"/>
  <c r="Z34" i="73" s="1"/>
  <c r="H34" i="73"/>
  <c r="D34" i="73"/>
  <c r="L34" i="73" s="1"/>
  <c r="N34" i="73" s="1"/>
  <c r="B34" i="73"/>
  <c r="Z33" i="73"/>
  <c r="X33" i="73"/>
  <c r="N33" i="73"/>
  <c r="L33" i="73"/>
  <c r="B33" i="73"/>
  <c r="T32" i="73"/>
  <c r="P32" i="73"/>
  <c r="X32" i="73" s="1"/>
  <c r="Z32" i="73" s="1"/>
  <c r="L32" i="73"/>
  <c r="N32" i="73" s="1"/>
  <c r="H32" i="73"/>
  <c r="D32" i="73"/>
  <c r="B32" i="73"/>
  <c r="X31" i="73"/>
  <c r="Z31" i="73" s="1"/>
  <c r="V31" i="73"/>
  <c r="L31" i="73"/>
  <c r="N31" i="73" s="1"/>
  <c r="B31" i="73"/>
  <c r="X30" i="73"/>
  <c r="Z30" i="73" s="1"/>
  <c r="T30" i="73"/>
  <c r="P30" i="73"/>
  <c r="H30" i="73"/>
  <c r="D30" i="73"/>
  <c r="B30" i="73"/>
  <c r="Z29" i="73"/>
  <c r="X29" i="73"/>
  <c r="N29" i="73"/>
  <c r="L29" i="73"/>
  <c r="B29" i="73"/>
  <c r="V28" i="73"/>
  <c r="T28" i="73"/>
  <c r="P28" i="73"/>
  <c r="H28" i="73"/>
  <c r="N28" i="73" s="1"/>
  <c r="D28" i="73"/>
  <c r="L28" i="73" s="1"/>
  <c r="B28" i="73"/>
  <c r="Z27" i="73"/>
  <c r="X27" i="73"/>
  <c r="N27" i="73"/>
  <c r="L27" i="73"/>
  <c r="B27" i="73"/>
  <c r="T26" i="73"/>
  <c r="Z26" i="73" s="1"/>
  <c r="P26" i="73"/>
  <c r="X26" i="73" s="1"/>
  <c r="N26" i="73"/>
  <c r="H26" i="73"/>
  <c r="D26" i="73"/>
  <c r="L26" i="73" s="1"/>
  <c r="B26" i="73"/>
  <c r="Z25" i="73"/>
  <c r="X25" i="73"/>
  <c r="N25" i="73"/>
  <c r="L25" i="73"/>
  <c r="B25" i="73"/>
  <c r="T24" i="73"/>
  <c r="P24" i="73"/>
  <c r="X24" i="73" s="1"/>
  <c r="Z24" i="73" s="1"/>
  <c r="L24" i="73"/>
  <c r="N24" i="73" s="1"/>
  <c r="H24" i="73"/>
  <c r="D24" i="73"/>
  <c r="B24" i="73"/>
  <c r="X23" i="73"/>
  <c r="Z23" i="73" s="1"/>
  <c r="V23" i="73"/>
  <c r="R23" i="73"/>
  <c r="N23" i="73"/>
  <c r="L23" i="73"/>
  <c r="B23" i="73"/>
  <c r="Z22" i="73"/>
  <c r="X22" i="73"/>
  <c r="V22" i="73"/>
  <c r="L22" i="73"/>
  <c r="N22" i="73" s="1"/>
  <c r="B22" i="73"/>
  <c r="Z21" i="73"/>
  <c r="X21" i="73"/>
  <c r="N21" i="73"/>
  <c r="L21" i="73"/>
  <c r="F21" i="73"/>
  <c r="B21" i="73"/>
  <c r="Z20" i="73"/>
  <c r="X20" i="73"/>
  <c r="L20" i="73"/>
  <c r="N20" i="73" s="1"/>
  <c r="J20" i="73"/>
  <c r="B20" i="73"/>
  <c r="T19" i="73"/>
  <c r="P19" i="73"/>
  <c r="X19" i="73" s="1"/>
  <c r="Z19" i="73" s="1"/>
  <c r="N19" i="73"/>
  <c r="L19" i="73"/>
  <c r="H19" i="73"/>
  <c r="D19" i="73"/>
  <c r="B19" i="73"/>
  <c r="Z18" i="73"/>
  <c r="X18" i="73"/>
  <c r="V18" i="73"/>
  <c r="T18" i="73"/>
  <c r="P18" i="73"/>
  <c r="J18" i="73"/>
  <c r="H18" i="73"/>
  <c r="D18" i="73"/>
  <c r="R16" i="73"/>
  <c r="P16" i="73"/>
  <c r="Z14" i="73"/>
  <c r="X14" i="73"/>
  <c r="V14" i="73"/>
  <c r="T14" i="73"/>
  <c r="T16" i="73" s="1"/>
  <c r="Z16" i="73" s="1"/>
  <c r="P14" i="73"/>
  <c r="H14" i="73"/>
  <c r="N14" i="73" s="1"/>
  <c r="D14" i="73"/>
  <c r="L14" i="73" s="1"/>
  <c r="X12" i="73"/>
  <c r="T12" i="73"/>
  <c r="V30" i="73" s="1"/>
  <c r="P12" i="73"/>
  <c r="R51" i="73" s="1"/>
  <c r="N12" i="73"/>
  <c r="H12" i="73"/>
  <c r="J35" i="73" s="1"/>
  <c r="D12" i="73"/>
  <c r="D6" i="73"/>
  <c r="D4" i="73"/>
  <c r="X88" i="71"/>
  <c r="Z88" i="71" s="1"/>
  <c r="N88" i="71"/>
  <c r="L88" i="71"/>
  <c r="Z84" i="71"/>
  <c r="T84" i="71"/>
  <c r="P84" i="71"/>
  <c r="X84" i="71" s="1"/>
  <c r="L84" i="71"/>
  <c r="N84" i="71" s="1"/>
  <c r="H84" i="71"/>
  <c r="D84" i="71"/>
  <c r="B84" i="71"/>
  <c r="T83" i="71"/>
  <c r="P83" i="71"/>
  <c r="X83" i="71" s="1"/>
  <c r="H83" i="71"/>
  <c r="N83" i="71" s="1"/>
  <c r="D83" i="71"/>
  <c r="B83" i="71"/>
  <c r="T82" i="71"/>
  <c r="P82" i="71"/>
  <c r="H82" i="71"/>
  <c r="D82" i="71"/>
  <c r="L82" i="71" s="1"/>
  <c r="N82" i="71" s="1"/>
  <c r="B82" i="71"/>
  <c r="H81" i="71"/>
  <c r="Z79" i="71"/>
  <c r="X79" i="71"/>
  <c r="L79" i="71"/>
  <c r="N79" i="71" s="1"/>
  <c r="B79" i="71"/>
  <c r="T78" i="71"/>
  <c r="P78" i="71"/>
  <c r="H78" i="71"/>
  <c r="D78" i="71"/>
  <c r="L78" i="71" s="1"/>
  <c r="N78" i="71" s="1"/>
  <c r="B78" i="71"/>
  <c r="Z77" i="71"/>
  <c r="X77" i="71"/>
  <c r="N77" i="71"/>
  <c r="L77" i="71"/>
  <c r="B77" i="71"/>
  <c r="Z76" i="71"/>
  <c r="X76" i="71"/>
  <c r="N76" i="71"/>
  <c r="L76" i="71"/>
  <c r="B76" i="71"/>
  <c r="Z75" i="71"/>
  <c r="X75" i="71"/>
  <c r="L75" i="71"/>
  <c r="N75" i="71" s="1"/>
  <c r="B75" i="71"/>
  <c r="T74" i="71"/>
  <c r="P74" i="71"/>
  <c r="H74" i="71"/>
  <c r="D74" i="71"/>
  <c r="L74" i="71" s="1"/>
  <c r="N74" i="71" s="1"/>
  <c r="B74" i="71"/>
  <c r="X73" i="71"/>
  <c r="Z73" i="71" s="1"/>
  <c r="L73" i="71"/>
  <c r="N73" i="71" s="1"/>
  <c r="B73" i="71"/>
  <c r="T72" i="71"/>
  <c r="P72" i="71"/>
  <c r="X72" i="71" s="1"/>
  <c r="Z72" i="71" s="1"/>
  <c r="N72" i="71"/>
  <c r="H72" i="71"/>
  <c r="D72" i="71"/>
  <c r="L72" i="71" s="1"/>
  <c r="B72" i="71"/>
  <c r="Z71" i="71"/>
  <c r="X71" i="71"/>
  <c r="N71" i="71"/>
  <c r="L71" i="71"/>
  <c r="B71" i="71"/>
  <c r="Z70" i="71"/>
  <c r="T70" i="71"/>
  <c r="P70" i="71"/>
  <c r="X70" i="71" s="1"/>
  <c r="L70" i="71"/>
  <c r="N70" i="71" s="1"/>
  <c r="H70" i="71"/>
  <c r="D70" i="71"/>
  <c r="B70" i="71"/>
  <c r="X69" i="71"/>
  <c r="Z69" i="71" s="1"/>
  <c r="L69" i="71"/>
  <c r="N69" i="71" s="1"/>
  <c r="B69" i="71"/>
  <c r="X68" i="71"/>
  <c r="Z68" i="71" s="1"/>
  <c r="N68" i="71"/>
  <c r="L68" i="71"/>
  <c r="B68" i="71"/>
  <c r="X67" i="71"/>
  <c r="Z67" i="71" s="1"/>
  <c r="T67" i="71"/>
  <c r="P67" i="71"/>
  <c r="H67" i="71"/>
  <c r="D67" i="71"/>
  <c r="L67" i="71" s="1"/>
  <c r="B67" i="71"/>
  <c r="Z66" i="71"/>
  <c r="X66" i="71"/>
  <c r="N66" i="71"/>
  <c r="L66" i="71"/>
  <c r="B66" i="71"/>
  <c r="T65" i="71"/>
  <c r="Z65" i="71" s="1"/>
  <c r="P65" i="71"/>
  <c r="X65" i="71" s="1"/>
  <c r="H65" i="71"/>
  <c r="N65" i="71" s="1"/>
  <c r="D65" i="71"/>
  <c r="L65" i="71" s="1"/>
  <c r="B65" i="71"/>
  <c r="Z64" i="71"/>
  <c r="X64" i="71"/>
  <c r="L64" i="71"/>
  <c r="N64" i="71" s="1"/>
  <c r="B64" i="71"/>
  <c r="T63" i="71"/>
  <c r="Z63" i="71" s="1"/>
  <c r="P63" i="71"/>
  <c r="X63" i="71" s="1"/>
  <c r="L63" i="71"/>
  <c r="H63" i="71"/>
  <c r="N63" i="71" s="1"/>
  <c r="D63" i="71"/>
  <c r="B63" i="71"/>
  <c r="Z62" i="71"/>
  <c r="X62" i="71"/>
  <c r="L62" i="71"/>
  <c r="N62" i="71" s="1"/>
  <c r="B62" i="71"/>
  <c r="X61" i="71"/>
  <c r="T61" i="71"/>
  <c r="Z61" i="71" s="1"/>
  <c r="P61" i="71"/>
  <c r="N61" i="71"/>
  <c r="L61" i="71"/>
  <c r="H61" i="71"/>
  <c r="D61" i="71"/>
  <c r="B61" i="71"/>
  <c r="X60" i="71"/>
  <c r="Z60" i="71" s="1"/>
  <c r="N60" i="71"/>
  <c r="L60" i="71"/>
  <c r="B60" i="71"/>
  <c r="X59" i="71"/>
  <c r="Z59" i="71" s="1"/>
  <c r="N59" i="71"/>
  <c r="L59" i="71"/>
  <c r="B59" i="71"/>
  <c r="Z58" i="71"/>
  <c r="X58" i="71"/>
  <c r="L58" i="71"/>
  <c r="N58" i="71" s="1"/>
  <c r="B58" i="71"/>
  <c r="X57" i="71"/>
  <c r="T57" i="71"/>
  <c r="Z57" i="71" s="1"/>
  <c r="P57" i="71"/>
  <c r="L57" i="71"/>
  <c r="N57" i="71" s="1"/>
  <c r="H57" i="71"/>
  <c r="D57" i="71"/>
  <c r="B57" i="71"/>
  <c r="X56" i="71"/>
  <c r="Z56" i="71" s="1"/>
  <c r="N56" i="71"/>
  <c r="L56" i="71"/>
  <c r="B56" i="71"/>
  <c r="Z55" i="71"/>
  <c r="X55" i="71"/>
  <c r="N55" i="71"/>
  <c r="L55" i="71"/>
  <c r="B55" i="71"/>
  <c r="Z54" i="71"/>
  <c r="X54" i="71"/>
  <c r="L54" i="71"/>
  <c r="N54" i="71" s="1"/>
  <c r="B54" i="71"/>
  <c r="X53" i="71"/>
  <c r="Z53" i="71" s="1"/>
  <c r="N53" i="71"/>
  <c r="L53" i="71"/>
  <c r="B53" i="71"/>
  <c r="Z52" i="71"/>
  <c r="X52" i="71"/>
  <c r="L52" i="71"/>
  <c r="N52" i="71" s="1"/>
  <c r="B52" i="71"/>
  <c r="Z51" i="71"/>
  <c r="X51" i="71"/>
  <c r="N51" i="71"/>
  <c r="L51" i="71"/>
  <c r="B51" i="71"/>
  <c r="X50" i="71"/>
  <c r="Z50" i="71" s="1"/>
  <c r="N50" i="71"/>
  <c r="L50" i="71"/>
  <c r="B50" i="71"/>
  <c r="Z49" i="71"/>
  <c r="X49" i="71"/>
  <c r="L49" i="71"/>
  <c r="N49" i="71" s="1"/>
  <c r="B49" i="71"/>
  <c r="X48" i="71"/>
  <c r="Z48" i="71" s="1"/>
  <c r="N48" i="71"/>
  <c r="L48" i="71"/>
  <c r="B48" i="71"/>
  <c r="X47" i="71"/>
  <c r="Z47" i="71" s="1"/>
  <c r="T47" i="71"/>
  <c r="P47" i="71"/>
  <c r="H47" i="71"/>
  <c r="D47" i="71"/>
  <c r="B47" i="71"/>
  <c r="T46" i="71"/>
  <c r="P46" i="71"/>
  <c r="H46" i="71"/>
  <c r="D46" i="71"/>
  <c r="L46" i="71" s="1"/>
  <c r="N46" i="71" s="1"/>
  <c r="X42" i="71"/>
  <c r="Z42" i="71" s="1"/>
  <c r="N42" i="71"/>
  <c r="L42" i="71"/>
  <c r="B42" i="71"/>
  <c r="Z41" i="71"/>
  <c r="X41" i="71"/>
  <c r="N41" i="71"/>
  <c r="L41" i="71"/>
  <c r="B41" i="71"/>
  <c r="X40" i="71"/>
  <c r="Z40" i="71" s="1"/>
  <c r="N40" i="71"/>
  <c r="L40" i="71"/>
  <c r="B40" i="71"/>
  <c r="X39" i="71"/>
  <c r="Z39" i="71" s="1"/>
  <c r="N39" i="71"/>
  <c r="L39" i="71"/>
  <c r="B39" i="71"/>
  <c r="Z38" i="71"/>
  <c r="X38" i="71"/>
  <c r="L38" i="71"/>
  <c r="N38" i="71" s="1"/>
  <c r="B38" i="71"/>
  <c r="X37" i="71"/>
  <c r="Z37" i="71" s="1"/>
  <c r="N37" i="71"/>
  <c r="L37" i="71"/>
  <c r="B37" i="71"/>
  <c r="Z36" i="71"/>
  <c r="X36" i="71"/>
  <c r="L36" i="71"/>
  <c r="N36" i="71" s="1"/>
  <c r="B36" i="71"/>
  <c r="Z35" i="71"/>
  <c r="X35" i="71"/>
  <c r="L35" i="71"/>
  <c r="N35" i="71" s="1"/>
  <c r="B35" i="71"/>
  <c r="X34" i="71"/>
  <c r="Z34" i="71" s="1"/>
  <c r="N34" i="71"/>
  <c r="L34" i="71"/>
  <c r="B34" i="71"/>
  <c r="Z33" i="71"/>
  <c r="X33" i="71"/>
  <c r="N33" i="71"/>
  <c r="L33" i="71"/>
  <c r="B33" i="71"/>
  <c r="X32" i="71"/>
  <c r="Z32" i="71" s="1"/>
  <c r="T32" i="71"/>
  <c r="P32" i="71"/>
  <c r="H32" i="71"/>
  <c r="D32" i="71"/>
  <c r="T30" i="71"/>
  <c r="P30" i="71"/>
  <c r="X30" i="71" s="1"/>
  <c r="Z30" i="71" s="1"/>
  <c r="H30" i="71"/>
  <c r="D30" i="71"/>
  <c r="B30" i="71"/>
  <c r="T29" i="71"/>
  <c r="Z29" i="71" s="1"/>
  <c r="P29" i="71"/>
  <c r="X29" i="71" s="1"/>
  <c r="N29" i="71"/>
  <c r="L29" i="71"/>
  <c r="H29" i="71"/>
  <c r="D29" i="71"/>
  <c r="B29" i="71"/>
  <c r="T28" i="71"/>
  <c r="P28" i="71"/>
  <c r="X28" i="71" s="1"/>
  <c r="N28" i="71"/>
  <c r="H28" i="71"/>
  <c r="D28" i="71"/>
  <c r="L28" i="71" s="1"/>
  <c r="B28" i="71"/>
  <c r="T27" i="71"/>
  <c r="P27" i="71"/>
  <c r="L27" i="71"/>
  <c r="H27" i="71"/>
  <c r="N27" i="71" s="1"/>
  <c r="D27" i="71"/>
  <c r="B27" i="71"/>
  <c r="T26" i="71"/>
  <c r="P26" i="71"/>
  <c r="H26" i="71"/>
  <c r="D26" i="71"/>
  <c r="L26" i="71" s="1"/>
  <c r="N26" i="71" s="1"/>
  <c r="B26" i="71"/>
  <c r="Z25" i="71"/>
  <c r="X25" i="71"/>
  <c r="T25" i="71"/>
  <c r="P25" i="71"/>
  <c r="H25" i="71"/>
  <c r="N25" i="71" s="1"/>
  <c r="D25" i="71"/>
  <c r="L25" i="71" s="1"/>
  <c r="B25" i="71"/>
  <c r="Z24" i="71"/>
  <c r="T24" i="71"/>
  <c r="P24" i="71"/>
  <c r="X24" i="71" s="1"/>
  <c r="H24" i="71"/>
  <c r="D24" i="71"/>
  <c r="L24" i="71" s="1"/>
  <c r="B24" i="71"/>
  <c r="X23" i="71"/>
  <c r="T23" i="71"/>
  <c r="Z23" i="71" s="1"/>
  <c r="P23" i="71"/>
  <c r="H23" i="71"/>
  <c r="D23" i="71"/>
  <c r="B23" i="71"/>
  <c r="T22" i="71"/>
  <c r="P22" i="71"/>
  <c r="X22" i="71" s="1"/>
  <c r="Z22" i="71" s="1"/>
  <c r="L22" i="71"/>
  <c r="H22" i="71"/>
  <c r="D22" i="71"/>
  <c r="B22" i="71"/>
  <c r="T21" i="71"/>
  <c r="Z21" i="71" s="1"/>
  <c r="P21" i="71"/>
  <c r="X21" i="71" s="1"/>
  <c r="L21" i="71"/>
  <c r="N21" i="71" s="1"/>
  <c r="H21" i="71"/>
  <c r="D21" i="71"/>
  <c r="B21" i="71"/>
  <c r="T20" i="71"/>
  <c r="Z20" i="71" s="1"/>
  <c r="P20" i="71"/>
  <c r="X20" i="71" s="1"/>
  <c r="H20" i="71"/>
  <c r="D20" i="71"/>
  <c r="L20" i="71" s="1"/>
  <c r="N20" i="71" s="1"/>
  <c r="B20" i="71"/>
  <c r="T19" i="71"/>
  <c r="Z19" i="71" s="1"/>
  <c r="P19" i="71"/>
  <c r="X19" i="71" s="1"/>
  <c r="L19" i="71"/>
  <c r="H19" i="71"/>
  <c r="N19" i="71" s="1"/>
  <c r="D19" i="71"/>
  <c r="B19" i="71"/>
  <c r="T18" i="71"/>
  <c r="P18" i="71"/>
  <c r="H18" i="71"/>
  <c r="D18" i="71"/>
  <c r="L18" i="71" s="1"/>
  <c r="N18" i="71" s="1"/>
  <c r="B18" i="71"/>
  <c r="Z17" i="71"/>
  <c r="X17" i="71"/>
  <c r="T17" i="71"/>
  <c r="P17" i="71"/>
  <c r="H17" i="71"/>
  <c r="N17" i="71" s="1"/>
  <c r="D17" i="71"/>
  <c r="L17" i="71" s="1"/>
  <c r="B17" i="71"/>
  <c r="T16" i="71"/>
  <c r="P16" i="71"/>
  <c r="X16" i="71" s="1"/>
  <c r="Z16" i="71" s="1"/>
  <c r="H16" i="71"/>
  <c r="N16" i="71" s="1"/>
  <c r="D16" i="71"/>
  <c r="L16" i="71" s="1"/>
  <c r="B16" i="71"/>
  <c r="X15" i="71"/>
  <c r="T15" i="71"/>
  <c r="Z15" i="71" s="1"/>
  <c r="P15" i="71"/>
  <c r="H15" i="71"/>
  <c r="D15" i="71"/>
  <c r="L15" i="71" s="1"/>
  <c r="B15" i="71"/>
  <c r="T14" i="71"/>
  <c r="P14" i="71"/>
  <c r="X14" i="71" s="1"/>
  <c r="Z14" i="71" s="1"/>
  <c r="H14" i="71"/>
  <c r="D14" i="71"/>
  <c r="B14" i="71"/>
  <c r="T13" i="71"/>
  <c r="P13" i="71"/>
  <c r="X13" i="71" s="1"/>
  <c r="N13" i="71"/>
  <c r="L13" i="71"/>
  <c r="H13" i="71"/>
  <c r="D13" i="71"/>
  <c r="B13" i="71"/>
  <c r="D6" i="71"/>
  <c r="D4" i="71"/>
  <c r="X64" i="70"/>
  <c r="Z64" i="70" s="1"/>
  <c r="N64" i="70"/>
  <c r="L64" i="70"/>
  <c r="T60" i="70"/>
  <c r="P60" i="70"/>
  <c r="H60" i="70"/>
  <c r="D60" i="70"/>
  <c r="L60" i="70" s="1"/>
  <c r="N60" i="70" s="1"/>
  <c r="B60" i="70"/>
  <c r="T59" i="70"/>
  <c r="H59" i="70"/>
  <c r="D59" i="70"/>
  <c r="Z57" i="70"/>
  <c r="X57" i="70"/>
  <c r="L57" i="70"/>
  <c r="N57" i="70" s="1"/>
  <c r="B57" i="70"/>
  <c r="T56" i="70"/>
  <c r="P56" i="70"/>
  <c r="H56" i="70"/>
  <c r="D56" i="70"/>
  <c r="L56" i="70" s="1"/>
  <c r="N56" i="70" s="1"/>
  <c r="B56" i="70"/>
  <c r="X55" i="70"/>
  <c r="Z55" i="70" s="1"/>
  <c r="N55" i="70"/>
  <c r="L55" i="70"/>
  <c r="B55" i="70"/>
  <c r="Z54" i="70"/>
  <c r="X54" i="70"/>
  <c r="L54" i="70"/>
  <c r="N54" i="70" s="1"/>
  <c r="B54" i="70"/>
  <c r="Z53" i="70"/>
  <c r="X53" i="70"/>
  <c r="N53" i="70"/>
  <c r="L53" i="70"/>
  <c r="B53" i="70"/>
  <c r="Z52" i="70"/>
  <c r="X52" i="70"/>
  <c r="N52" i="70"/>
  <c r="L52" i="70"/>
  <c r="B52" i="70"/>
  <c r="Z51" i="70"/>
  <c r="X51" i="70"/>
  <c r="L51" i="70"/>
  <c r="N51" i="70" s="1"/>
  <c r="B51" i="70"/>
  <c r="X50" i="70"/>
  <c r="Z50" i="70" s="1"/>
  <c r="T50" i="70"/>
  <c r="P50" i="70"/>
  <c r="H50" i="70"/>
  <c r="D50" i="70"/>
  <c r="B50" i="70"/>
  <c r="Z49" i="70"/>
  <c r="X49" i="70"/>
  <c r="L49" i="70"/>
  <c r="N49" i="70" s="1"/>
  <c r="B49" i="70"/>
  <c r="T48" i="70"/>
  <c r="P48" i="70"/>
  <c r="H48" i="70"/>
  <c r="D48" i="70"/>
  <c r="L48" i="70" s="1"/>
  <c r="N48" i="70" s="1"/>
  <c r="B48" i="70"/>
  <c r="Z47" i="70"/>
  <c r="X47" i="70"/>
  <c r="N47" i="70"/>
  <c r="L47" i="70"/>
  <c r="B47" i="70"/>
  <c r="Z46" i="70"/>
  <c r="X46" i="70"/>
  <c r="L46" i="70"/>
  <c r="N46" i="70" s="1"/>
  <c r="B46" i="70"/>
  <c r="T45" i="70"/>
  <c r="P45" i="70"/>
  <c r="X45" i="70" s="1"/>
  <c r="L45" i="70"/>
  <c r="N45" i="70" s="1"/>
  <c r="H45" i="70"/>
  <c r="D45" i="70"/>
  <c r="B45" i="70"/>
  <c r="Z44" i="70"/>
  <c r="X44" i="70"/>
  <c r="L44" i="70"/>
  <c r="N44" i="70" s="1"/>
  <c r="B44" i="70"/>
  <c r="X43" i="70"/>
  <c r="Z43" i="70" s="1"/>
  <c r="N43" i="70"/>
  <c r="L43" i="70"/>
  <c r="B43" i="70"/>
  <c r="T42" i="70"/>
  <c r="P42" i="70"/>
  <c r="X42" i="70" s="1"/>
  <c r="Z42" i="70" s="1"/>
  <c r="H42" i="70"/>
  <c r="D42" i="70"/>
  <c r="L42" i="70" s="1"/>
  <c r="N42" i="70" s="1"/>
  <c r="B42" i="70"/>
  <c r="Z41" i="70"/>
  <c r="X41" i="70"/>
  <c r="N41" i="70"/>
  <c r="L41" i="70"/>
  <c r="B41" i="70"/>
  <c r="T40" i="70"/>
  <c r="P40" i="70"/>
  <c r="X40" i="70" s="1"/>
  <c r="Z40" i="70" s="1"/>
  <c r="L40" i="70"/>
  <c r="N40" i="70" s="1"/>
  <c r="H40" i="70"/>
  <c r="D40" i="70"/>
  <c r="B40" i="70"/>
  <c r="Z39" i="70"/>
  <c r="X39" i="70"/>
  <c r="L39" i="70"/>
  <c r="N39" i="70" s="1"/>
  <c r="B39" i="70"/>
  <c r="X38" i="70"/>
  <c r="Z38" i="70" s="1"/>
  <c r="T38" i="70"/>
  <c r="P38" i="70"/>
  <c r="H38" i="70"/>
  <c r="D38" i="70"/>
  <c r="B38" i="70"/>
  <c r="Z37" i="70"/>
  <c r="X37" i="70"/>
  <c r="N37" i="70"/>
  <c r="L37" i="70"/>
  <c r="B37" i="70"/>
  <c r="X36" i="70"/>
  <c r="Z36" i="70" s="1"/>
  <c r="N36" i="70"/>
  <c r="L36" i="70"/>
  <c r="B36" i="70"/>
  <c r="T35" i="70"/>
  <c r="P35" i="70"/>
  <c r="H35" i="70"/>
  <c r="D35" i="70"/>
  <c r="L35" i="70" s="1"/>
  <c r="N35" i="70" s="1"/>
  <c r="B35" i="70"/>
  <c r="Z34" i="70"/>
  <c r="X34" i="70"/>
  <c r="L34" i="70"/>
  <c r="N34" i="70" s="1"/>
  <c r="B34" i="70"/>
  <c r="Z33" i="70"/>
  <c r="X33" i="70"/>
  <c r="N33" i="70"/>
  <c r="L33" i="70"/>
  <c r="B33" i="70"/>
  <c r="X32" i="70"/>
  <c r="Z32" i="70" s="1"/>
  <c r="N32" i="70"/>
  <c r="L32" i="70"/>
  <c r="B32" i="70"/>
  <c r="Z31" i="70"/>
  <c r="X31" i="70"/>
  <c r="L31" i="70"/>
  <c r="N31" i="70" s="1"/>
  <c r="B31" i="70"/>
  <c r="X30" i="70"/>
  <c r="Z30" i="70" s="1"/>
  <c r="N30" i="70"/>
  <c r="L30" i="70"/>
  <c r="B30" i="70"/>
  <c r="X29" i="70"/>
  <c r="Z29" i="70" s="1"/>
  <c r="N29" i="70"/>
  <c r="L29" i="70"/>
  <c r="B29" i="70"/>
  <c r="Z28" i="70"/>
  <c r="X28" i="70"/>
  <c r="L28" i="70"/>
  <c r="N28" i="70" s="1"/>
  <c r="B28" i="70"/>
  <c r="X27" i="70"/>
  <c r="Z27" i="70" s="1"/>
  <c r="N27" i="70"/>
  <c r="L27" i="70"/>
  <c r="B27" i="70"/>
  <c r="T26" i="70"/>
  <c r="P26" i="70"/>
  <c r="X26" i="70" s="1"/>
  <c r="Z26" i="70" s="1"/>
  <c r="H26" i="70"/>
  <c r="D26" i="70"/>
  <c r="L26" i="70" s="1"/>
  <c r="N26" i="70" s="1"/>
  <c r="B26" i="70"/>
  <c r="X25" i="70"/>
  <c r="Z25" i="70" s="1"/>
  <c r="T25" i="70"/>
  <c r="P25" i="70"/>
  <c r="H25" i="70"/>
  <c r="D25" i="70"/>
  <c r="L25" i="70" s="1"/>
  <c r="Z21" i="70"/>
  <c r="X21" i="70"/>
  <c r="T21" i="70"/>
  <c r="P21" i="70"/>
  <c r="H21" i="70"/>
  <c r="N21" i="70" s="1"/>
  <c r="D21" i="70"/>
  <c r="T19" i="70"/>
  <c r="P19" i="70"/>
  <c r="X19" i="70" s="1"/>
  <c r="L19" i="70"/>
  <c r="N19" i="70" s="1"/>
  <c r="H19" i="70"/>
  <c r="D19" i="70"/>
  <c r="B19" i="70"/>
  <c r="T18" i="70"/>
  <c r="Z18" i="70" s="1"/>
  <c r="P18" i="70"/>
  <c r="X18" i="70" s="1"/>
  <c r="N18" i="70"/>
  <c r="H18" i="70"/>
  <c r="D18" i="70"/>
  <c r="L18" i="70" s="1"/>
  <c r="B18" i="70"/>
  <c r="T17" i="70"/>
  <c r="P17" i="70"/>
  <c r="X17" i="70" s="1"/>
  <c r="L17" i="70"/>
  <c r="H17" i="70"/>
  <c r="N17" i="70" s="1"/>
  <c r="D17" i="70"/>
  <c r="B17" i="70"/>
  <c r="X16" i="70"/>
  <c r="T16" i="70"/>
  <c r="Z16" i="70" s="1"/>
  <c r="P16" i="70"/>
  <c r="N16" i="70"/>
  <c r="H16" i="70"/>
  <c r="D16" i="70"/>
  <c r="L16" i="70" s="1"/>
  <c r="B16" i="70"/>
  <c r="X15" i="70"/>
  <c r="Z15" i="70" s="1"/>
  <c r="T15" i="70"/>
  <c r="P15" i="70"/>
  <c r="H15" i="70"/>
  <c r="N15" i="70" s="1"/>
  <c r="D15" i="70"/>
  <c r="L15" i="70" s="1"/>
  <c r="B15" i="70"/>
  <c r="T14" i="70"/>
  <c r="P14" i="70"/>
  <c r="H14" i="70"/>
  <c r="D14" i="70"/>
  <c r="L14" i="70" s="1"/>
  <c r="B14" i="70"/>
  <c r="X13" i="70"/>
  <c r="T13" i="70"/>
  <c r="Z13" i="70" s="1"/>
  <c r="P13" i="70"/>
  <c r="H13" i="70"/>
  <c r="D13" i="70"/>
  <c r="B13" i="70"/>
  <c r="D6" i="70"/>
  <c r="D4" i="70"/>
  <c r="X116" i="69"/>
  <c r="Z116" i="69" s="1"/>
  <c r="N116" i="69"/>
  <c r="L116" i="69"/>
  <c r="T112" i="69"/>
  <c r="P112" i="69"/>
  <c r="X112" i="69" s="1"/>
  <c r="Z112" i="69" s="1"/>
  <c r="L112" i="69"/>
  <c r="N112" i="69" s="1"/>
  <c r="H112" i="69"/>
  <c r="D112" i="69"/>
  <c r="B112" i="69"/>
  <c r="T111" i="69"/>
  <c r="P111" i="69"/>
  <c r="X111" i="69" s="1"/>
  <c r="H111" i="69"/>
  <c r="D111" i="69"/>
  <c r="B111" i="69"/>
  <c r="P110" i="69"/>
  <c r="H110" i="69"/>
  <c r="Z108" i="69"/>
  <c r="X108" i="69"/>
  <c r="N108" i="69"/>
  <c r="L108" i="69"/>
  <c r="B108" i="69"/>
  <c r="T107" i="69"/>
  <c r="P107" i="69"/>
  <c r="H107" i="69"/>
  <c r="N107" i="69" s="1"/>
  <c r="D107" i="69"/>
  <c r="L107" i="69" s="1"/>
  <c r="B107" i="69"/>
  <c r="X106" i="69"/>
  <c r="Z106" i="69" s="1"/>
  <c r="N106" i="69"/>
  <c r="L106" i="69"/>
  <c r="B106" i="69"/>
  <c r="T105" i="69"/>
  <c r="P105" i="69"/>
  <c r="X105" i="69" s="1"/>
  <c r="H105" i="69"/>
  <c r="D105" i="69"/>
  <c r="L105" i="69" s="1"/>
  <c r="N105" i="69" s="1"/>
  <c r="B105" i="69"/>
  <c r="Z104" i="69"/>
  <c r="X104" i="69"/>
  <c r="N104" i="69"/>
  <c r="L104" i="69"/>
  <c r="B104" i="69"/>
  <c r="Z103" i="69"/>
  <c r="X103" i="69"/>
  <c r="L103" i="69"/>
  <c r="N103" i="69" s="1"/>
  <c r="B103" i="69"/>
  <c r="X102" i="69"/>
  <c r="Z102" i="69" s="1"/>
  <c r="N102" i="69"/>
  <c r="L102" i="69"/>
  <c r="B102" i="69"/>
  <c r="T101" i="69"/>
  <c r="P101" i="69"/>
  <c r="H101" i="69"/>
  <c r="D101" i="69"/>
  <c r="L101" i="69" s="1"/>
  <c r="N101" i="69" s="1"/>
  <c r="B101" i="69"/>
  <c r="Z100" i="69"/>
  <c r="X100" i="69"/>
  <c r="N100" i="69"/>
  <c r="L100" i="69"/>
  <c r="B100" i="69"/>
  <c r="Z99" i="69"/>
  <c r="X99" i="69"/>
  <c r="N99" i="69"/>
  <c r="L99" i="69"/>
  <c r="B99" i="69"/>
  <c r="T98" i="69"/>
  <c r="P98" i="69"/>
  <c r="N98" i="69"/>
  <c r="H98" i="69"/>
  <c r="D98" i="69"/>
  <c r="L98" i="69" s="1"/>
  <c r="B98" i="69"/>
  <c r="Z97" i="69"/>
  <c r="X97" i="69"/>
  <c r="N97" i="69"/>
  <c r="L97" i="69"/>
  <c r="B97" i="69"/>
  <c r="Z96" i="69"/>
  <c r="X96" i="69"/>
  <c r="L96" i="69"/>
  <c r="N96" i="69" s="1"/>
  <c r="B96" i="69"/>
  <c r="T95" i="69"/>
  <c r="P95" i="69"/>
  <c r="X95" i="69" s="1"/>
  <c r="Z95" i="69" s="1"/>
  <c r="L95" i="69"/>
  <c r="N95" i="69" s="1"/>
  <c r="H95" i="69"/>
  <c r="D95" i="69"/>
  <c r="B95" i="69"/>
  <c r="Z94" i="69"/>
  <c r="X94" i="69"/>
  <c r="N94" i="69"/>
  <c r="L94" i="69"/>
  <c r="B94" i="69"/>
  <c r="X93" i="69"/>
  <c r="Z93" i="69" s="1"/>
  <c r="N93" i="69"/>
  <c r="L93" i="69"/>
  <c r="B93" i="69"/>
  <c r="X92" i="69"/>
  <c r="Z92" i="69" s="1"/>
  <c r="T92" i="69"/>
  <c r="P92" i="69"/>
  <c r="H92" i="69"/>
  <c r="D92" i="69"/>
  <c r="B92" i="69"/>
  <c r="Z91" i="69"/>
  <c r="X91" i="69"/>
  <c r="N91" i="69"/>
  <c r="L91" i="69"/>
  <c r="B91" i="69"/>
  <c r="T90" i="69"/>
  <c r="Z90" i="69" s="1"/>
  <c r="P90" i="69"/>
  <c r="N90" i="69"/>
  <c r="H90" i="69"/>
  <c r="D90" i="69"/>
  <c r="L90" i="69" s="1"/>
  <c r="B90" i="69"/>
  <c r="Z89" i="69"/>
  <c r="X89" i="69"/>
  <c r="N89" i="69"/>
  <c r="L89" i="69"/>
  <c r="B89" i="69"/>
  <c r="Z88" i="69"/>
  <c r="T88" i="69"/>
  <c r="P88" i="69"/>
  <c r="X88" i="69" s="1"/>
  <c r="H88" i="69"/>
  <c r="N88" i="69" s="1"/>
  <c r="D88" i="69"/>
  <c r="B88" i="69"/>
  <c r="Z87" i="69"/>
  <c r="X87" i="69"/>
  <c r="N87" i="69"/>
  <c r="L87" i="69"/>
  <c r="B87" i="69"/>
  <c r="X86" i="69"/>
  <c r="T86" i="69"/>
  <c r="P86" i="69"/>
  <c r="H86" i="69"/>
  <c r="D86" i="69"/>
  <c r="L86" i="69" s="1"/>
  <c r="B86" i="69"/>
  <c r="Z85" i="69"/>
  <c r="X85" i="69"/>
  <c r="N85" i="69"/>
  <c r="L85" i="69"/>
  <c r="B85" i="69"/>
  <c r="Z84" i="69"/>
  <c r="X84" i="69"/>
  <c r="L84" i="69"/>
  <c r="N84" i="69" s="1"/>
  <c r="B84" i="69"/>
  <c r="Z83" i="69"/>
  <c r="X83" i="69"/>
  <c r="L83" i="69"/>
  <c r="N83" i="69" s="1"/>
  <c r="B83" i="69"/>
  <c r="X82" i="69"/>
  <c r="Z82" i="69" s="1"/>
  <c r="L82" i="69"/>
  <c r="N82" i="69" s="1"/>
  <c r="B82" i="69"/>
  <c r="Z81" i="69"/>
  <c r="X81" i="69"/>
  <c r="N81" i="69"/>
  <c r="L81" i="69"/>
  <c r="B81" i="69"/>
  <c r="T80" i="69"/>
  <c r="P80" i="69"/>
  <c r="H80" i="69"/>
  <c r="D80" i="69"/>
  <c r="L80" i="69" s="1"/>
  <c r="N80" i="69" s="1"/>
  <c r="B80" i="69"/>
  <c r="X79" i="69"/>
  <c r="Z79" i="69" s="1"/>
  <c r="L79" i="69"/>
  <c r="N79" i="69" s="1"/>
  <c r="B79" i="69"/>
  <c r="Z78" i="69"/>
  <c r="X78" i="69"/>
  <c r="N78" i="69"/>
  <c r="L78" i="69"/>
  <c r="B78" i="69"/>
  <c r="Z77" i="69"/>
  <c r="X77" i="69"/>
  <c r="N77" i="69"/>
  <c r="L77" i="69"/>
  <c r="B77" i="69"/>
  <c r="Z76" i="69"/>
  <c r="X76" i="69"/>
  <c r="L76" i="69"/>
  <c r="N76" i="69" s="1"/>
  <c r="B76" i="69"/>
  <c r="X75" i="69"/>
  <c r="Z75" i="69" s="1"/>
  <c r="L75" i="69"/>
  <c r="N75" i="69" s="1"/>
  <c r="B75" i="69"/>
  <c r="Z74" i="69"/>
  <c r="X74" i="69"/>
  <c r="N74" i="69"/>
  <c r="L74" i="69"/>
  <c r="B74" i="69"/>
  <c r="Z73" i="69"/>
  <c r="X73" i="69"/>
  <c r="N73" i="69"/>
  <c r="L73" i="69"/>
  <c r="B73" i="69"/>
  <c r="X72" i="69"/>
  <c r="Z72" i="69" s="1"/>
  <c r="N72" i="69"/>
  <c r="L72" i="69"/>
  <c r="B72" i="69"/>
  <c r="T71" i="69"/>
  <c r="P71" i="69"/>
  <c r="X71" i="69" s="1"/>
  <c r="Z71" i="69" s="1"/>
  <c r="N71" i="69"/>
  <c r="H71" i="69"/>
  <c r="L71" i="69" s="1"/>
  <c r="D71" i="69"/>
  <c r="B71" i="69"/>
  <c r="X70" i="69"/>
  <c r="Z70" i="69" s="1"/>
  <c r="T70" i="69"/>
  <c r="P70" i="69"/>
  <c r="H70" i="69"/>
  <c r="D70" i="69"/>
  <c r="Z66" i="69"/>
  <c r="X66" i="69"/>
  <c r="N66" i="69"/>
  <c r="L66" i="69"/>
  <c r="B66" i="69"/>
  <c r="Z65" i="69"/>
  <c r="X65" i="69"/>
  <c r="N65" i="69"/>
  <c r="L65" i="69"/>
  <c r="B65" i="69"/>
  <c r="X64" i="69"/>
  <c r="Z64" i="69" s="1"/>
  <c r="N64" i="69"/>
  <c r="L64" i="69"/>
  <c r="B64" i="69"/>
  <c r="Z63" i="69"/>
  <c r="X63" i="69"/>
  <c r="L63" i="69"/>
  <c r="N63" i="69" s="1"/>
  <c r="B63" i="69"/>
  <c r="Z62" i="69"/>
  <c r="X62" i="69"/>
  <c r="N62" i="69"/>
  <c r="L62" i="69"/>
  <c r="B62" i="69"/>
  <c r="Z61" i="69"/>
  <c r="X61" i="69"/>
  <c r="N61" i="69"/>
  <c r="L61" i="69"/>
  <c r="B61" i="69"/>
  <c r="Z60" i="69"/>
  <c r="X60" i="69"/>
  <c r="L60" i="69"/>
  <c r="N60" i="69" s="1"/>
  <c r="B60" i="69"/>
  <c r="X59" i="69"/>
  <c r="Z59" i="69" s="1"/>
  <c r="N59" i="69"/>
  <c r="L59" i="69"/>
  <c r="B59" i="69"/>
  <c r="Z58" i="69"/>
  <c r="X58" i="69"/>
  <c r="N58" i="69"/>
  <c r="L58" i="69"/>
  <c r="B58" i="69"/>
  <c r="Z57" i="69"/>
  <c r="X57" i="69"/>
  <c r="N57" i="69"/>
  <c r="L57" i="69"/>
  <c r="B57" i="69"/>
  <c r="X56" i="69"/>
  <c r="Z56" i="69" s="1"/>
  <c r="L56" i="69"/>
  <c r="N56" i="69" s="1"/>
  <c r="B56" i="69"/>
  <c r="Z55" i="69"/>
  <c r="X55" i="69"/>
  <c r="L55" i="69"/>
  <c r="N55" i="69" s="1"/>
  <c r="B55" i="69"/>
  <c r="Z54" i="69"/>
  <c r="X54" i="69"/>
  <c r="N54" i="69"/>
  <c r="L54" i="69"/>
  <c r="B54" i="69"/>
  <c r="Z53" i="69"/>
  <c r="X53" i="69"/>
  <c r="N53" i="69"/>
  <c r="L53" i="69"/>
  <c r="B53" i="69"/>
  <c r="X52" i="69"/>
  <c r="Z52" i="69" s="1"/>
  <c r="L52" i="69"/>
  <c r="N52" i="69" s="1"/>
  <c r="B52" i="69"/>
  <c r="Z51" i="69"/>
  <c r="X51" i="69"/>
  <c r="N51" i="69"/>
  <c r="L51" i="69"/>
  <c r="B51" i="69"/>
  <c r="X50" i="69"/>
  <c r="Z50" i="69" s="1"/>
  <c r="T50" i="69"/>
  <c r="P50" i="69"/>
  <c r="H50" i="69"/>
  <c r="D50" i="69"/>
  <c r="Z48" i="69"/>
  <c r="X48" i="69"/>
  <c r="T48" i="69"/>
  <c r="P48" i="69"/>
  <c r="L48" i="69"/>
  <c r="N48" i="69" s="1"/>
  <c r="H48" i="69"/>
  <c r="D48" i="69"/>
  <c r="B48" i="69"/>
  <c r="T47" i="69"/>
  <c r="P47" i="69"/>
  <c r="X47" i="69" s="1"/>
  <c r="Z47" i="69" s="1"/>
  <c r="H47" i="69"/>
  <c r="D47" i="69"/>
  <c r="L47" i="69" s="1"/>
  <c r="N47" i="69" s="1"/>
  <c r="B47" i="69"/>
  <c r="T46" i="69"/>
  <c r="P46" i="69"/>
  <c r="L46" i="69"/>
  <c r="H46" i="69"/>
  <c r="N46" i="69" s="1"/>
  <c r="D46" i="69"/>
  <c r="B46" i="69"/>
  <c r="T45" i="69"/>
  <c r="P45" i="69"/>
  <c r="N45" i="69"/>
  <c r="L45" i="69"/>
  <c r="H45" i="69"/>
  <c r="D45" i="69"/>
  <c r="B45" i="69"/>
  <c r="X44" i="69"/>
  <c r="Z44" i="69" s="1"/>
  <c r="T44" i="69"/>
  <c r="P44" i="69"/>
  <c r="N44" i="69"/>
  <c r="L44" i="69"/>
  <c r="H44" i="69"/>
  <c r="D44" i="69"/>
  <c r="B44" i="69"/>
  <c r="Z43" i="69"/>
  <c r="T43" i="69"/>
  <c r="P43" i="69"/>
  <c r="X43" i="69" s="1"/>
  <c r="H43" i="69"/>
  <c r="D43" i="69"/>
  <c r="L43" i="69" s="1"/>
  <c r="N43" i="69" s="1"/>
  <c r="B43" i="69"/>
  <c r="X42" i="69"/>
  <c r="T42" i="69"/>
  <c r="Z42" i="69" s="1"/>
  <c r="P42" i="69"/>
  <c r="H42" i="69"/>
  <c r="D42" i="69"/>
  <c r="B42" i="69"/>
  <c r="Z41" i="69"/>
  <c r="X41" i="69"/>
  <c r="T41" i="69"/>
  <c r="P41" i="69"/>
  <c r="L41" i="69"/>
  <c r="H41" i="69"/>
  <c r="D41" i="69"/>
  <c r="B41" i="69"/>
  <c r="Z40" i="69"/>
  <c r="X40" i="69"/>
  <c r="T40" i="69"/>
  <c r="P40" i="69"/>
  <c r="N40" i="69"/>
  <c r="L40" i="69"/>
  <c r="H40" i="69"/>
  <c r="D40" i="69"/>
  <c r="B40" i="69"/>
  <c r="T39" i="69"/>
  <c r="P39" i="69"/>
  <c r="X39" i="69" s="1"/>
  <c r="Z39" i="69" s="1"/>
  <c r="N39" i="69"/>
  <c r="H39" i="69"/>
  <c r="D39" i="69"/>
  <c r="L39" i="69" s="1"/>
  <c r="B39" i="69"/>
  <c r="T38" i="69"/>
  <c r="Z38" i="69" s="1"/>
  <c r="P38" i="69"/>
  <c r="X38" i="69" s="1"/>
  <c r="L38" i="69"/>
  <c r="H38" i="69"/>
  <c r="N38" i="69" s="1"/>
  <c r="D38" i="69"/>
  <c r="B38" i="69"/>
  <c r="X37" i="69"/>
  <c r="T37" i="69"/>
  <c r="P37" i="69"/>
  <c r="H37" i="69"/>
  <c r="L37" i="69" s="1"/>
  <c r="N37" i="69" s="1"/>
  <c r="D37" i="69"/>
  <c r="B37" i="69"/>
  <c r="X36" i="69"/>
  <c r="Z36" i="69" s="1"/>
  <c r="T36" i="69"/>
  <c r="P36" i="69"/>
  <c r="L36" i="69"/>
  <c r="N36" i="69" s="1"/>
  <c r="H36" i="69"/>
  <c r="D36" i="69"/>
  <c r="B36" i="69"/>
  <c r="Z35" i="69"/>
  <c r="T35" i="69"/>
  <c r="P35" i="69"/>
  <c r="X35" i="69" s="1"/>
  <c r="H35" i="69"/>
  <c r="D35" i="69"/>
  <c r="L35" i="69" s="1"/>
  <c r="N35" i="69" s="1"/>
  <c r="B35" i="69"/>
  <c r="X34" i="69"/>
  <c r="T34" i="69"/>
  <c r="Z34" i="69" s="1"/>
  <c r="P34" i="69"/>
  <c r="H34" i="69"/>
  <c r="D34" i="69"/>
  <c r="B34" i="69"/>
  <c r="T33" i="69"/>
  <c r="X33" i="69" s="1"/>
  <c r="Z33" i="69" s="1"/>
  <c r="P33" i="69"/>
  <c r="L33" i="69"/>
  <c r="H33" i="69"/>
  <c r="D33" i="69"/>
  <c r="B33" i="69"/>
  <c r="X32" i="69"/>
  <c r="Z32" i="69" s="1"/>
  <c r="T32" i="69"/>
  <c r="P32" i="69"/>
  <c r="N32" i="69"/>
  <c r="L32" i="69"/>
  <c r="H32" i="69"/>
  <c r="D32" i="69"/>
  <c r="B32" i="69"/>
  <c r="T31" i="69"/>
  <c r="P31" i="69"/>
  <c r="X31" i="69" s="1"/>
  <c r="Z31" i="69" s="1"/>
  <c r="N31" i="69"/>
  <c r="H31" i="69"/>
  <c r="D31" i="69"/>
  <c r="L31" i="69" s="1"/>
  <c r="B31" i="69"/>
  <c r="T30" i="69"/>
  <c r="P30" i="69"/>
  <c r="X30" i="69" s="1"/>
  <c r="H30" i="69"/>
  <c r="N30" i="69" s="1"/>
  <c r="D30" i="69"/>
  <c r="L30" i="69" s="1"/>
  <c r="B30" i="69"/>
  <c r="X29" i="69"/>
  <c r="T29" i="69"/>
  <c r="P29" i="69"/>
  <c r="H29" i="69"/>
  <c r="D29" i="69"/>
  <c r="B29" i="69"/>
  <c r="X28" i="69"/>
  <c r="Z28" i="69" s="1"/>
  <c r="T28" i="69"/>
  <c r="P28" i="69"/>
  <c r="L28" i="69"/>
  <c r="N28" i="69" s="1"/>
  <c r="H28" i="69"/>
  <c r="D28" i="69"/>
  <c r="B28" i="69"/>
  <c r="T27" i="69"/>
  <c r="P27" i="69"/>
  <c r="X27" i="69" s="1"/>
  <c r="Z27" i="69" s="1"/>
  <c r="H27" i="69"/>
  <c r="D27" i="69"/>
  <c r="L27" i="69" s="1"/>
  <c r="N27" i="69" s="1"/>
  <c r="B27" i="69"/>
  <c r="T26" i="69"/>
  <c r="Z26" i="69" s="1"/>
  <c r="P26" i="69"/>
  <c r="X26" i="69" s="1"/>
  <c r="H26" i="69"/>
  <c r="D26" i="69"/>
  <c r="L26" i="69" s="1"/>
  <c r="B26" i="69"/>
  <c r="T25" i="69"/>
  <c r="Z25" i="69" s="1"/>
  <c r="P25" i="69"/>
  <c r="L25" i="69"/>
  <c r="H25" i="69"/>
  <c r="N25" i="69" s="1"/>
  <c r="D25" i="69"/>
  <c r="B25" i="69"/>
  <c r="X24" i="69"/>
  <c r="Z24" i="69" s="1"/>
  <c r="T24" i="69"/>
  <c r="P24" i="69"/>
  <c r="L24" i="69"/>
  <c r="N24" i="69" s="1"/>
  <c r="H24" i="69"/>
  <c r="D24" i="69"/>
  <c r="B24" i="69"/>
  <c r="T23" i="69"/>
  <c r="P23" i="69"/>
  <c r="X23" i="69" s="1"/>
  <c r="Z23" i="69" s="1"/>
  <c r="H23" i="69"/>
  <c r="D23" i="69"/>
  <c r="L23" i="69" s="1"/>
  <c r="N23" i="69" s="1"/>
  <c r="B23" i="69"/>
  <c r="T22" i="69"/>
  <c r="P22" i="69"/>
  <c r="H22" i="69"/>
  <c r="D22" i="69"/>
  <c r="L22" i="69" s="1"/>
  <c r="B22" i="69"/>
  <c r="T21" i="69"/>
  <c r="P21" i="69"/>
  <c r="H21" i="69"/>
  <c r="D21" i="69"/>
  <c r="B21" i="69"/>
  <c r="Z20" i="69"/>
  <c r="X20" i="69"/>
  <c r="T20" i="69"/>
  <c r="P20" i="69"/>
  <c r="L20" i="69"/>
  <c r="N20" i="69" s="1"/>
  <c r="H20" i="69"/>
  <c r="D20" i="69"/>
  <c r="B20" i="69"/>
  <c r="Z19" i="69"/>
  <c r="T19" i="69"/>
  <c r="P19" i="69"/>
  <c r="X19" i="69" s="1"/>
  <c r="H19" i="69"/>
  <c r="D19" i="69"/>
  <c r="L19" i="69" s="1"/>
  <c r="N19" i="69" s="1"/>
  <c r="B19" i="69"/>
  <c r="T18" i="69"/>
  <c r="P18" i="69"/>
  <c r="X18" i="69" s="1"/>
  <c r="H18" i="69"/>
  <c r="D18" i="69"/>
  <c r="B18" i="69"/>
  <c r="T17" i="69"/>
  <c r="P17" i="69"/>
  <c r="L17" i="69"/>
  <c r="H17" i="69"/>
  <c r="D17" i="69"/>
  <c r="B17" i="69"/>
  <c r="X16" i="69"/>
  <c r="Z16" i="69" s="1"/>
  <c r="T16" i="69"/>
  <c r="P16" i="69"/>
  <c r="N16" i="69"/>
  <c r="L16" i="69"/>
  <c r="H16" i="69"/>
  <c r="D16" i="69"/>
  <c r="B16" i="69"/>
  <c r="T15" i="69"/>
  <c r="P15" i="69"/>
  <c r="X15" i="69" s="1"/>
  <c r="Z15" i="69" s="1"/>
  <c r="N15" i="69"/>
  <c r="H15" i="69"/>
  <c r="D15" i="69"/>
  <c r="L15" i="69" s="1"/>
  <c r="B15" i="69"/>
  <c r="T14" i="69"/>
  <c r="P14" i="69"/>
  <c r="H14" i="69"/>
  <c r="N14" i="69" s="1"/>
  <c r="D14" i="69"/>
  <c r="L14" i="69" s="1"/>
  <c r="B14" i="69"/>
  <c r="X13" i="69"/>
  <c r="T13" i="69"/>
  <c r="P13" i="69"/>
  <c r="H13" i="69"/>
  <c r="D13" i="69"/>
  <c r="B13" i="69"/>
  <c r="D6" i="69"/>
  <c r="D4" i="69"/>
  <c r="Z43" i="67"/>
  <c r="X43" i="67"/>
  <c r="N43" i="67"/>
  <c r="L43" i="67"/>
  <c r="Z39" i="67"/>
  <c r="X39" i="67"/>
  <c r="T39" i="67"/>
  <c r="P39" i="67"/>
  <c r="H39" i="67"/>
  <c r="N39" i="67" s="1"/>
  <c r="D39" i="67"/>
  <c r="L39" i="67" s="1"/>
  <c r="X37" i="67"/>
  <c r="Z37" i="67" s="1"/>
  <c r="L37" i="67"/>
  <c r="N37" i="67" s="1"/>
  <c r="B37" i="67"/>
  <c r="T36" i="67"/>
  <c r="P36" i="67"/>
  <c r="H36" i="67"/>
  <c r="D36" i="67"/>
  <c r="L36" i="67" s="1"/>
  <c r="N36" i="67" s="1"/>
  <c r="B36" i="67"/>
  <c r="X35" i="67"/>
  <c r="Z35" i="67" s="1"/>
  <c r="L35" i="67"/>
  <c r="N35" i="67" s="1"/>
  <c r="J35" i="67"/>
  <c r="B35" i="67"/>
  <c r="T34" i="67"/>
  <c r="P34" i="67"/>
  <c r="X34" i="67" s="1"/>
  <c r="Z34" i="67" s="1"/>
  <c r="H34" i="67"/>
  <c r="L34" i="67" s="1"/>
  <c r="N34" i="67" s="1"/>
  <c r="D34" i="67"/>
  <c r="B34" i="67"/>
  <c r="Z33" i="67"/>
  <c r="X33" i="67"/>
  <c r="L33" i="67"/>
  <c r="N33" i="67" s="1"/>
  <c r="B33" i="67"/>
  <c r="T32" i="67"/>
  <c r="X32" i="67" s="1"/>
  <c r="Z32" i="67" s="1"/>
  <c r="P32" i="67"/>
  <c r="L32" i="67"/>
  <c r="N32" i="67" s="1"/>
  <c r="H32" i="67"/>
  <c r="D32" i="67"/>
  <c r="B32" i="67"/>
  <c r="X31" i="67"/>
  <c r="Z31" i="67" s="1"/>
  <c r="L31" i="67"/>
  <c r="N31" i="67" s="1"/>
  <c r="B31" i="67"/>
  <c r="X30" i="67"/>
  <c r="Z30" i="67" s="1"/>
  <c r="L30" i="67"/>
  <c r="N30" i="67" s="1"/>
  <c r="B30" i="67"/>
  <c r="X29" i="67"/>
  <c r="Z29" i="67" s="1"/>
  <c r="N29" i="67"/>
  <c r="L29" i="67"/>
  <c r="B29" i="67"/>
  <c r="Z28" i="67"/>
  <c r="X28" i="67"/>
  <c r="N28" i="67"/>
  <c r="L28" i="67"/>
  <c r="B28" i="67"/>
  <c r="X27" i="67"/>
  <c r="Z27" i="67" s="1"/>
  <c r="L27" i="67"/>
  <c r="N27" i="67" s="1"/>
  <c r="B27" i="67"/>
  <c r="X26" i="67"/>
  <c r="Z26" i="67" s="1"/>
  <c r="L26" i="67"/>
  <c r="N26" i="67" s="1"/>
  <c r="J26" i="67"/>
  <c r="B26" i="67"/>
  <c r="Z25" i="67"/>
  <c r="X25" i="67"/>
  <c r="N25" i="67"/>
  <c r="L25" i="67"/>
  <c r="B25" i="67"/>
  <c r="Z24" i="67"/>
  <c r="X24" i="67"/>
  <c r="N24" i="67"/>
  <c r="L24" i="67"/>
  <c r="B24" i="67"/>
  <c r="T23" i="67"/>
  <c r="P23" i="67"/>
  <c r="X23" i="67" s="1"/>
  <c r="H23" i="67"/>
  <c r="D23" i="67"/>
  <c r="L23" i="67" s="1"/>
  <c r="N23" i="67" s="1"/>
  <c r="B23" i="67"/>
  <c r="T22" i="67"/>
  <c r="P22" i="67"/>
  <c r="X22" i="67" s="1"/>
  <c r="Z22" i="67" s="1"/>
  <c r="H22" i="67"/>
  <c r="D22" i="67"/>
  <c r="L22" i="67" s="1"/>
  <c r="N22" i="67" s="1"/>
  <c r="T18" i="67"/>
  <c r="Z18" i="67" s="1"/>
  <c r="P18" i="67"/>
  <c r="X18" i="67" s="1"/>
  <c r="N18" i="67"/>
  <c r="H18" i="67"/>
  <c r="D18" i="67"/>
  <c r="L18" i="67" s="1"/>
  <c r="T16" i="67"/>
  <c r="Z16" i="67" s="1"/>
  <c r="P16" i="67"/>
  <c r="L16" i="67"/>
  <c r="H16" i="67"/>
  <c r="N16" i="67" s="1"/>
  <c r="D16" i="67"/>
  <c r="B16" i="67"/>
  <c r="Z15" i="67"/>
  <c r="X15" i="67"/>
  <c r="T15" i="67"/>
  <c r="P15" i="67"/>
  <c r="N15" i="67"/>
  <c r="L15" i="67"/>
  <c r="H15" i="67"/>
  <c r="D15" i="67"/>
  <c r="B15" i="67"/>
  <c r="Z14" i="67"/>
  <c r="T14" i="67"/>
  <c r="P14" i="67"/>
  <c r="X14" i="67" s="1"/>
  <c r="N14" i="67"/>
  <c r="H14" i="67"/>
  <c r="D14" i="67"/>
  <c r="L14" i="67" s="1"/>
  <c r="B14" i="67"/>
  <c r="T13" i="67"/>
  <c r="Z13" i="67" s="1"/>
  <c r="P13" i="67"/>
  <c r="X13" i="67" s="1"/>
  <c r="H13" i="67"/>
  <c r="N13" i="67" s="1"/>
  <c r="D13" i="67"/>
  <c r="B13" i="67"/>
  <c r="H12" i="67"/>
  <c r="D6" i="67"/>
  <c r="D4" i="67"/>
  <c r="Z99" i="66"/>
  <c r="X99" i="66"/>
  <c r="N99" i="66"/>
  <c r="L99" i="66"/>
  <c r="Z95" i="66"/>
  <c r="T95" i="66"/>
  <c r="X95" i="66" s="1"/>
  <c r="P95" i="66"/>
  <c r="L95" i="66"/>
  <c r="H95" i="66"/>
  <c r="N95" i="66" s="1"/>
  <c r="D95" i="66"/>
  <c r="B95" i="66"/>
  <c r="T94" i="66"/>
  <c r="P94" i="66"/>
  <c r="H94" i="66"/>
  <c r="D94" i="66"/>
  <c r="B94" i="66"/>
  <c r="P93" i="66"/>
  <c r="H93" i="66"/>
  <c r="X91" i="66"/>
  <c r="Z91" i="66" s="1"/>
  <c r="L91" i="66"/>
  <c r="N91" i="66" s="1"/>
  <c r="B91" i="66"/>
  <c r="X90" i="66"/>
  <c r="Z90" i="66" s="1"/>
  <c r="T90" i="66"/>
  <c r="P90" i="66"/>
  <c r="H90" i="66"/>
  <c r="D90" i="66"/>
  <c r="L90" i="66" s="1"/>
  <c r="B90" i="66"/>
  <c r="Z89" i="66"/>
  <c r="X89" i="66"/>
  <c r="R89" i="66"/>
  <c r="N89" i="66"/>
  <c r="L89" i="66"/>
  <c r="B89" i="66"/>
  <c r="X88" i="66"/>
  <c r="Z88" i="66" s="1"/>
  <c r="L88" i="66"/>
  <c r="N88" i="66" s="1"/>
  <c r="B88" i="66"/>
  <c r="X87" i="66"/>
  <c r="T87" i="66"/>
  <c r="P87" i="66"/>
  <c r="H87" i="66"/>
  <c r="D87" i="66"/>
  <c r="L87" i="66" s="1"/>
  <c r="B87" i="66"/>
  <c r="Z86" i="66"/>
  <c r="X86" i="66"/>
  <c r="L86" i="66"/>
  <c r="N86" i="66" s="1"/>
  <c r="B86" i="66"/>
  <c r="Z85" i="66"/>
  <c r="X85" i="66"/>
  <c r="N85" i="66"/>
  <c r="L85" i="66"/>
  <c r="B85" i="66"/>
  <c r="T84" i="66"/>
  <c r="P84" i="66"/>
  <c r="X84" i="66" s="1"/>
  <c r="H84" i="66"/>
  <c r="D84" i="66"/>
  <c r="L84" i="66" s="1"/>
  <c r="N84" i="66" s="1"/>
  <c r="B84" i="66"/>
  <c r="X83" i="66"/>
  <c r="Z83" i="66" s="1"/>
  <c r="L83" i="66"/>
  <c r="N83" i="66" s="1"/>
  <c r="B83" i="66"/>
  <c r="T82" i="66"/>
  <c r="P82" i="66"/>
  <c r="X82" i="66" s="1"/>
  <c r="Z82" i="66" s="1"/>
  <c r="H82" i="66"/>
  <c r="D82" i="66"/>
  <c r="B82" i="66"/>
  <c r="Z81" i="66"/>
  <c r="X81" i="66"/>
  <c r="N81" i="66"/>
  <c r="L81" i="66"/>
  <c r="B81" i="66"/>
  <c r="Z80" i="66"/>
  <c r="X80" i="66"/>
  <c r="N80" i="66"/>
  <c r="L80" i="66"/>
  <c r="B80" i="66"/>
  <c r="T79" i="66"/>
  <c r="P79" i="66"/>
  <c r="X79" i="66" s="1"/>
  <c r="Z79" i="66" s="1"/>
  <c r="N79" i="66"/>
  <c r="H79" i="66"/>
  <c r="L79" i="66" s="1"/>
  <c r="D79" i="66"/>
  <c r="B79" i="66"/>
  <c r="Z78" i="66"/>
  <c r="X78" i="66"/>
  <c r="N78" i="66"/>
  <c r="L78" i="66"/>
  <c r="B78" i="66"/>
  <c r="T77" i="66"/>
  <c r="X77" i="66" s="1"/>
  <c r="Z77" i="66" s="1"/>
  <c r="P77" i="66"/>
  <c r="L77" i="66"/>
  <c r="H77" i="66"/>
  <c r="D77" i="66"/>
  <c r="B77" i="66"/>
  <c r="X76" i="66"/>
  <c r="Z76" i="66" s="1"/>
  <c r="N76" i="66"/>
  <c r="L76" i="66"/>
  <c r="B76" i="66"/>
  <c r="X75" i="66"/>
  <c r="T75" i="66"/>
  <c r="Z75" i="66" s="1"/>
  <c r="P75" i="66"/>
  <c r="H75" i="66"/>
  <c r="D75" i="66"/>
  <c r="B75" i="66"/>
  <c r="Z74" i="66"/>
  <c r="X74" i="66"/>
  <c r="L74" i="66"/>
  <c r="N74" i="66" s="1"/>
  <c r="B74" i="66"/>
  <c r="T73" i="66"/>
  <c r="P73" i="66"/>
  <c r="H73" i="66"/>
  <c r="D73" i="66"/>
  <c r="L73" i="66" s="1"/>
  <c r="B73" i="66"/>
  <c r="Z72" i="66"/>
  <c r="X72" i="66"/>
  <c r="N72" i="66"/>
  <c r="L72" i="66"/>
  <c r="B72" i="66"/>
  <c r="T71" i="66"/>
  <c r="P71" i="66"/>
  <c r="X71" i="66" s="1"/>
  <c r="N71" i="66"/>
  <c r="H71" i="66"/>
  <c r="L71" i="66" s="1"/>
  <c r="D71" i="66"/>
  <c r="B71" i="66"/>
  <c r="X70" i="66"/>
  <c r="Z70" i="66" s="1"/>
  <c r="N70" i="66"/>
  <c r="L70" i="66"/>
  <c r="B70" i="66"/>
  <c r="T69" i="66"/>
  <c r="P69" i="66"/>
  <c r="H69" i="66"/>
  <c r="D69" i="66"/>
  <c r="L69" i="66" s="1"/>
  <c r="B69" i="66"/>
  <c r="Z68" i="66"/>
  <c r="X68" i="66"/>
  <c r="N68" i="66"/>
  <c r="L68" i="66"/>
  <c r="B68" i="66"/>
  <c r="X67" i="66"/>
  <c r="T67" i="66"/>
  <c r="Z67" i="66" s="1"/>
  <c r="P67" i="66"/>
  <c r="H67" i="66"/>
  <c r="N67" i="66" s="1"/>
  <c r="D67" i="66"/>
  <c r="L67" i="66" s="1"/>
  <c r="B67" i="66"/>
  <c r="Z66" i="66"/>
  <c r="X66" i="66"/>
  <c r="L66" i="66"/>
  <c r="N66" i="66" s="1"/>
  <c r="B66" i="66"/>
  <c r="T65" i="66"/>
  <c r="P65" i="66"/>
  <c r="X65" i="66" s="1"/>
  <c r="L65" i="66"/>
  <c r="H65" i="66"/>
  <c r="D65" i="66"/>
  <c r="B65" i="66"/>
  <c r="Z64" i="66"/>
  <c r="X64" i="66"/>
  <c r="N64" i="66"/>
  <c r="L64" i="66"/>
  <c r="B64" i="66"/>
  <c r="X63" i="66"/>
  <c r="Z63" i="66" s="1"/>
  <c r="L63" i="66"/>
  <c r="N63" i="66" s="1"/>
  <c r="B63" i="66"/>
  <c r="Z62" i="66"/>
  <c r="X62" i="66"/>
  <c r="L62" i="66"/>
  <c r="N62" i="66" s="1"/>
  <c r="B62" i="66"/>
  <c r="X61" i="66"/>
  <c r="Z61" i="66" s="1"/>
  <c r="R61" i="66"/>
  <c r="N61" i="66"/>
  <c r="L61" i="66"/>
  <c r="B61" i="66"/>
  <c r="Z60" i="66"/>
  <c r="X60" i="66"/>
  <c r="R60" i="66"/>
  <c r="N60" i="66"/>
  <c r="L60" i="66"/>
  <c r="B60" i="66"/>
  <c r="X59" i="66"/>
  <c r="Z59" i="66" s="1"/>
  <c r="L59" i="66"/>
  <c r="N59" i="66" s="1"/>
  <c r="B59" i="66"/>
  <c r="X58" i="66"/>
  <c r="Z58" i="66" s="1"/>
  <c r="T58" i="66"/>
  <c r="P58" i="66"/>
  <c r="H58" i="66"/>
  <c r="N58" i="66" s="1"/>
  <c r="D58" i="66"/>
  <c r="L58" i="66" s="1"/>
  <c r="B58" i="66"/>
  <c r="Z57" i="66"/>
  <c r="X57" i="66"/>
  <c r="L57" i="66"/>
  <c r="N57" i="66" s="1"/>
  <c r="B57" i="66"/>
  <c r="X56" i="66"/>
  <c r="Z56" i="66" s="1"/>
  <c r="L56" i="66"/>
  <c r="N56" i="66" s="1"/>
  <c r="B56" i="66"/>
  <c r="X55" i="66"/>
  <c r="Z55" i="66" s="1"/>
  <c r="L55" i="66"/>
  <c r="N55" i="66" s="1"/>
  <c r="B55" i="66"/>
  <c r="Z54" i="66"/>
  <c r="X54" i="66"/>
  <c r="R54" i="66"/>
  <c r="N54" i="66"/>
  <c r="L54" i="66"/>
  <c r="B54" i="66"/>
  <c r="X53" i="66"/>
  <c r="Z53" i="66" s="1"/>
  <c r="N53" i="66"/>
  <c r="L53" i="66"/>
  <c r="B53" i="66"/>
  <c r="X52" i="66"/>
  <c r="Z52" i="66" s="1"/>
  <c r="L52" i="66"/>
  <c r="N52" i="66" s="1"/>
  <c r="B52" i="66"/>
  <c r="X51" i="66"/>
  <c r="Z51" i="66" s="1"/>
  <c r="L51" i="66"/>
  <c r="N51" i="66" s="1"/>
  <c r="B51" i="66"/>
  <c r="Z50" i="66"/>
  <c r="X50" i="66"/>
  <c r="N50" i="66"/>
  <c r="L50" i="66"/>
  <c r="B50" i="66"/>
  <c r="Z49" i="66"/>
  <c r="X49" i="66"/>
  <c r="L49" i="66"/>
  <c r="N49" i="66" s="1"/>
  <c r="B49" i="66"/>
  <c r="T48" i="66"/>
  <c r="P48" i="66"/>
  <c r="X48" i="66" s="1"/>
  <c r="N48" i="66"/>
  <c r="H48" i="66"/>
  <c r="D48" i="66"/>
  <c r="L48" i="66" s="1"/>
  <c r="B48" i="66"/>
  <c r="X47" i="66"/>
  <c r="Z47" i="66" s="1"/>
  <c r="T47" i="66"/>
  <c r="P47" i="66"/>
  <c r="H47" i="66"/>
  <c r="D47" i="66"/>
  <c r="Z43" i="66"/>
  <c r="X43" i="66"/>
  <c r="N43" i="66"/>
  <c r="L43" i="66"/>
  <c r="B43" i="66"/>
  <c r="Z42" i="66"/>
  <c r="X42" i="66"/>
  <c r="N42" i="66"/>
  <c r="L42" i="66"/>
  <c r="B42" i="66"/>
  <c r="X41" i="66"/>
  <c r="Z41" i="66" s="1"/>
  <c r="L41" i="66"/>
  <c r="N41" i="66" s="1"/>
  <c r="B41" i="66"/>
  <c r="Z40" i="66"/>
  <c r="X40" i="66"/>
  <c r="N40" i="66"/>
  <c r="L40" i="66"/>
  <c r="B40" i="66"/>
  <c r="X39" i="66"/>
  <c r="Z39" i="66" s="1"/>
  <c r="L39" i="66"/>
  <c r="N39" i="66" s="1"/>
  <c r="B39" i="66"/>
  <c r="Z38" i="66"/>
  <c r="X38" i="66"/>
  <c r="R38" i="66"/>
  <c r="N38" i="66"/>
  <c r="L38" i="66"/>
  <c r="B38" i="66"/>
  <c r="X37" i="66"/>
  <c r="Z37" i="66" s="1"/>
  <c r="L37" i="66"/>
  <c r="N37" i="66" s="1"/>
  <c r="B37" i="66"/>
  <c r="X36" i="66"/>
  <c r="Z36" i="66" s="1"/>
  <c r="N36" i="66"/>
  <c r="L36" i="66"/>
  <c r="B36" i="66"/>
  <c r="X35" i="66"/>
  <c r="Z35" i="66" s="1"/>
  <c r="L35" i="66"/>
  <c r="N35" i="66" s="1"/>
  <c r="B35" i="66"/>
  <c r="Z34" i="66"/>
  <c r="X34" i="66"/>
  <c r="N34" i="66"/>
  <c r="L34" i="66"/>
  <c r="B34" i="66"/>
  <c r="X33" i="66"/>
  <c r="Z33" i="66" s="1"/>
  <c r="L33" i="66"/>
  <c r="N33" i="66" s="1"/>
  <c r="B33" i="66"/>
  <c r="Z32" i="66"/>
  <c r="X32" i="66"/>
  <c r="L32" i="66"/>
  <c r="N32" i="66" s="1"/>
  <c r="B32" i="66"/>
  <c r="Z31" i="66"/>
  <c r="X31" i="66"/>
  <c r="N31" i="66"/>
  <c r="L31" i="66"/>
  <c r="B31" i="66"/>
  <c r="T30" i="66"/>
  <c r="R30" i="66"/>
  <c r="P30" i="66"/>
  <c r="H30" i="66"/>
  <c r="D30" i="66"/>
  <c r="L30" i="66" s="1"/>
  <c r="Z28" i="66"/>
  <c r="T28" i="66"/>
  <c r="X28" i="66" s="1"/>
  <c r="P28" i="66"/>
  <c r="H28" i="66"/>
  <c r="D28" i="66"/>
  <c r="L28" i="66" s="1"/>
  <c r="N28" i="66" s="1"/>
  <c r="B28" i="66"/>
  <c r="T27" i="66"/>
  <c r="P27" i="66"/>
  <c r="X27" i="66" s="1"/>
  <c r="Z27" i="66" s="1"/>
  <c r="H27" i="66"/>
  <c r="D27" i="66"/>
  <c r="B27" i="66"/>
  <c r="T26" i="66"/>
  <c r="Z26" i="66" s="1"/>
  <c r="P26" i="66"/>
  <c r="X26" i="66" s="1"/>
  <c r="L26" i="66"/>
  <c r="H26" i="66"/>
  <c r="N26" i="66" s="1"/>
  <c r="D26" i="66"/>
  <c r="B26" i="66"/>
  <c r="X25" i="66"/>
  <c r="T25" i="66"/>
  <c r="Z25" i="66" s="1"/>
  <c r="P25" i="66"/>
  <c r="N25" i="66"/>
  <c r="L25" i="66"/>
  <c r="H25" i="66"/>
  <c r="D25" i="66"/>
  <c r="B25" i="66"/>
  <c r="T24" i="66"/>
  <c r="P24" i="66"/>
  <c r="X24" i="66" s="1"/>
  <c r="Z24" i="66" s="1"/>
  <c r="H24" i="66"/>
  <c r="L24" i="66" s="1"/>
  <c r="N24" i="66" s="1"/>
  <c r="D24" i="66"/>
  <c r="B24" i="66"/>
  <c r="T23" i="66"/>
  <c r="Z23" i="66" s="1"/>
  <c r="P23" i="66"/>
  <c r="N23" i="66"/>
  <c r="H23" i="66"/>
  <c r="D23" i="66"/>
  <c r="L23" i="66" s="1"/>
  <c r="B23" i="66"/>
  <c r="X22" i="66"/>
  <c r="T22" i="66"/>
  <c r="P22" i="66"/>
  <c r="H22" i="66"/>
  <c r="N22" i="66" s="1"/>
  <c r="D22" i="66"/>
  <c r="L22" i="66" s="1"/>
  <c r="B22" i="66"/>
  <c r="X21" i="66"/>
  <c r="Z21" i="66" s="1"/>
  <c r="T21" i="66"/>
  <c r="P21" i="66"/>
  <c r="L21" i="66"/>
  <c r="H21" i="66"/>
  <c r="N21" i="66" s="1"/>
  <c r="D21" i="66"/>
  <c r="B21" i="66"/>
  <c r="Z20" i="66"/>
  <c r="X20" i="66"/>
  <c r="T20" i="66"/>
  <c r="P20" i="66"/>
  <c r="H20" i="66"/>
  <c r="D20" i="66"/>
  <c r="L20" i="66" s="1"/>
  <c r="N20" i="66" s="1"/>
  <c r="B20" i="66"/>
  <c r="T19" i="66"/>
  <c r="P19" i="66"/>
  <c r="X19" i="66" s="1"/>
  <c r="Z19" i="66" s="1"/>
  <c r="H19" i="66"/>
  <c r="D19" i="66"/>
  <c r="B19" i="66"/>
  <c r="T18" i="66"/>
  <c r="Z18" i="66" s="1"/>
  <c r="P18" i="66"/>
  <c r="X18" i="66" s="1"/>
  <c r="H18" i="66"/>
  <c r="N18" i="66" s="1"/>
  <c r="D18" i="66"/>
  <c r="B18" i="66"/>
  <c r="X17" i="66"/>
  <c r="T17" i="66"/>
  <c r="Z17" i="66" s="1"/>
  <c r="P17" i="66"/>
  <c r="N17" i="66"/>
  <c r="L17" i="66"/>
  <c r="H17" i="66"/>
  <c r="D17" i="66"/>
  <c r="B17" i="66"/>
  <c r="T16" i="66"/>
  <c r="P16" i="66"/>
  <c r="X16" i="66" s="1"/>
  <c r="Z16" i="66" s="1"/>
  <c r="N16" i="66"/>
  <c r="L16" i="66"/>
  <c r="H16" i="66"/>
  <c r="D16" i="66"/>
  <c r="B16" i="66"/>
  <c r="T15" i="66"/>
  <c r="P15" i="66"/>
  <c r="H15" i="66"/>
  <c r="D15" i="66"/>
  <c r="L15" i="66" s="1"/>
  <c r="N15" i="66" s="1"/>
  <c r="B15" i="66"/>
  <c r="T14" i="66"/>
  <c r="P14" i="66"/>
  <c r="H14" i="66"/>
  <c r="N14" i="66" s="1"/>
  <c r="D14" i="66"/>
  <c r="L14" i="66" s="1"/>
  <c r="B14" i="66"/>
  <c r="Z13" i="66"/>
  <c r="X13" i="66"/>
  <c r="T13" i="66"/>
  <c r="P13" i="66"/>
  <c r="P12" i="66" s="1"/>
  <c r="L13" i="66"/>
  <c r="H13" i="66"/>
  <c r="N13" i="66" s="1"/>
  <c r="D13" i="66"/>
  <c r="B13" i="66"/>
  <c r="D6" i="66"/>
  <c r="D4" i="66"/>
  <c r="V35" i="65"/>
  <c r="F35" i="65"/>
  <c r="Z33" i="65"/>
  <c r="X33" i="65"/>
  <c r="N33" i="65"/>
  <c r="L33" i="65"/>
  <c r="J33" i="65"/>
  <c r="X29" i="65"/>
  <c r="V29" i="65"/>
  <c r="T29" i="65"/>
  <c r="Z29" i="65" s="1"/>
  <c r="P29" i="65"/>
  <c r="H29" i="65"/>
  <c r="N29" i="65" s="1"/>
  <c r="F29" i="65"/>
  <c r="D29" i="65"/>
  <c r="X27" i="65"/>
  <c r="Z27" i="65" s="1"/>
  <c r="L27" i="65"/>
  <c r="N27" i="65" s="1"/>
  <c r="J27" i="65"/>
  <c r="B27" i="65"/>
  <c r="T26" i="65"/>
  <c r="Z26" i="65" s="1"/>
  <c r="R26" i="65"/>
  <c r="P26" i="65"/>
  <c r="X26" i="65" s="1"/>
  <c r="H26" i="65"/>
  <c r="D26" i="65"/>
  <c r="L26" i="65" s="1"/>
  <c r="B26" i="65"/>
  <c r="Z25" i="65"/>
  <c r="X25" i="65"/>
  <c r="N25" i="65"/>
  <c r="L25" i="65"/>
  <c r="F25" i="65"/>
  <c r="B25" i="65"/>
  <c r="Z24" i="65"/>
  <c r="X24" i="65"/>
  <c r="N24" i="65"/>
  <c r="L24" i="65"/>
  <c r="J24" i="65"/>
  <c r="F24" i="65"/>
  <c r="B24" i="65"/>
  <c r="T23" i="65"/>
  <c r="P23" i="65"/>
  <c r="X23" i="65" s="1"/>
  <c r="N23" i="65"/>
  <c r="L23" i="65"/>
  <c r="H23" i="65"/>
  <c r="D23" i="65"/>
  <c r="B23" i="65"/>
  <c r="Z22" i="65"/>
  <c r="X22" i="65"/>
  <c r="L22" i="65"/>
  <c r="N22" i="65" s="1"/>
  <c r="B22" i="65"/>
  <c r="Z21" i="65"/>
  <c r="X21" i="65"/>
  <c r="T21" i="65"/>
  <c r="P21" i="65"/>
  <c r="L21" i="65"/>
  <c r="J21" i="65"/>
  <c r="H21" i="65"/>
  <c r="D21" i="65"/>
  <c r="B21" i="65"/>
  <c r="X20" i="65"/>
  <c r="Z20" i="65" s="1"/>
  <c r="V20" i="65"/>
  <c r="R20" i="65"/>
  <c r="N20" i="65"/>
  <c r="L20" i="65"/>
  <c r="B20" i="65"/>
  <c r="X19" i="65"/>
  <c r="V19" i="65"/>
  <c r="T19" i="65"/>
  <c r="P19" i="65"/>
  <c r="H19" i="65"/>
  <c r="F19" i="65"/>
  <c r="D19" i="65"/>
  <c r="B19" i="65"/>
  <c r="T18" i="65"/>
  <c r="R18" i="65"/>
  <c r="P18" i="65"/>
  <c r="X18" i="65" s="1"/>
  <c r="H18" i="65"/>
  <c r="D18" i="65"/>
  <c r="L18" i="65" s="1"/>
  <c r="J16" i="65"/>
  <c r="H16" i="65"/>
  <c r="T14" i="65"/>
  <c r="Z14" i="65" s="1"/>
  <c r="R14" i="65"/>
  <c r="P14" i="65"/>
  <c r="H14" i="65"/>
  <c r="N14" i="65" s="1"/>
  <c r="D14" i="65"/>
  <c r="L14" i="65" s="1"/>
  <c r="Z12" i="65"/>
  <c r="X12" i="65"/>
  <c r="T12" i="65"/>
  <c r="V22" i="65" s="1"/>
  <c r="P12" i="65"/>
  <c r="R35" i="65" s="1"/>
  <c r="L12" i="65"/>
  <c r="H12" i="65"/>
  <c r="J38" i="65" s="1"/>
  <c r="D12" i="65"/>
  <c r="F33" i="65" s="1"/>
  <c r="D6" i="65"/>
  <c r="D4" i="65"/>
  <c r="V40" i="64"/>
  <c r="F40" i="64"/>
  <c r="Z38" i="64"/>
  <c r="X38" i="64"/>
  <c r="N38" i="64"/>
  <c r="L38" i="64"/>
  <c r="J38" i="64"/>
  <c r="F38" i="64"/>
  <c r="V34" i="64"/>
  <c r="T34" i="64"/>
  <c r="P34" i="64"/>
  <c r="H34" i="64"/>
  <c r="N34" i="64" s="1"/>
  <c r="F34" i="64"/>
  <c r="D34" i="64"/>
  <c r="L34" i="64" s="1"/>
  <c r="X32" i="64"/>
  <c r="Z32" i="64" s="1"/>
  <c r="L32" i="64"/>
  <c r="N32" i="64" s="1"/>
  <c r="J32" i="64"/>
  <c r="F32" i="64"/>
  <c r="B32" i="64"/>
  <c r="T31" i="64"/>
  <c r="Z31" i="64" s="1"/>
  <c r="P31" i="64"/>
  <c r="X31" i="64" s="1"/>
  <c r="N31" i="64"/>
  <c r="L31" i="64"/>
  <c r="H31" i="64"/>
  <c r="D31" i="64"/>
  <c r="B31" i="64"/>
  <c r="X30" i="64"/>
  <c r="Z30" i="64" s="1"/>
  <c r="L30" i="64"/>
  <c r="N30" i="64" s="1"/>
  <c r="B30" i="64"/>
  <c r="Z29" i="64"/>
  <c r="X29" i="64"/>
  <c r="T29" i="64"/>
  <c r="P29" i="64"/>
  <c r="L29" i="64"/>
  <c r="N29" i="64" s="1"/>
  <c r="J29" i="64"/>
  <c r="H29" i="64"/>
  <c r="D29" i="64"/>
  <c r="B29" i="64"/>
  <c r="X28" i="64"/>
  <c r="Z28" i="64" s="1"/>
  <c r="V28" i="64"/>
  <c r="R28" i="64"/>
  <c r="N28" i="64"/>
  <c r="L28" i="64"/>
  <c r="B28" i="64"/>
  <c r="X27" i="64"/>
  <c r="Z27" i="64" s="1"/>
  <c r="V27" i="64"/>
  <c r="L27" i="64"/>
  <c r="N27" i="64" s="1"/>
  <c r="B27" i="64"/>
  <c r="X26" i="64"/>
  <c r="Z26" i="64" s="1"/>
  <c r="T26" i="64"/>
  <c r="P26" i="64"/>
  <c r="J26" i="64"/>
  <c r="H26" i="64"/>
  <c r="D26" i="64"/>
  <c r="B26" i="64"/>
  <c r="Z25" i="64"/>
  <c r="X25" i="64"/>
  <c r="R25" i="64"/>
  <c r="N25" i="64"/>
  <c r="L25" i="64"/>
  <c r="B25" i="64"/>
  <c r="V24" i="64"/>
  <c r="T24" i="64"/>
  <c r="P24" i="64"/>
  <c r="H24" i="64"/>
  <c r="N24" i="64" s="1"/>
  <c r="F24" i="64"/>
  <c r="D24" i="64"/>
  <c r="L24" i="64" s="1"/>
  <c r="B24" i="64"/>
  <c r="X23" i="64"/>
  <c r="Z23" i="64" s="1"/>
  <c r="L23" i="64"/>
  <c r="N23" i="64" s="1"/>
  <c r="J23" i="64"/>
  <c r="B23" i="64"/>
  <c r="T22" i="64"/>
  <c r="Z22" i="64" s="1"/>
  <c r="R22" i="64"/>
  <c r="P22" i="64"/>
  <c r="X22" i="64" s="1"/>
  <c r="H22" i="64"/>
  <c r="D22" i="64"/>
  <c r="L22" i="64" s="1"/>
  <c r="B22" i="64"/>
  <c r="Z21" i="64"/>
  <c r="X21" i="64"/>
  <c r="N21" i="64"/>
  <c r="L21" i="64"/>
  <c r="F21" i="64"/>
  <c r="B21" i="64"/>
  <c r="T20" i="64"/>
  <c r="Z20" i="64" s="1"/>
  <c r="P20" i="64"/>
  <c r="X20" i="64" s="1"/>
  <c r="N20" i="64"/>
  <c r="L20" i="64"/>
  <c r="H20" i="64"/>
  <c r="D20" i="64"/>
  <c r="B20" i="64"/>
  <c r="X19" i="64"/>
  <c r="V19" i="64"/>
  <c r="T19" i="64"/>
  <c r="Z19" i="64" s="1"/>
  <c r="P19" i="64"/>
  <c r="H19" i="64"/>
  <c r="F19" i="64"/>
  <c r="D19" i="64"/>
  <c r="L19" i="64" s="1"/>
  <c r="V17" i="64"/>
  <c r="P17" i="64"/>
  <c r="F17" i="64"/>
  <c r="X15" i="64"/>
  <c r="Z15" i="64" s="1"/>
  <c r="V15" i="64"/>
  <c r="L15" i="64"/>
  <c r="N15" i="64" s="1"/>
  <c r="B15" i="64"/>
  <c r="X14" i="64"/>
  <c r="Z14" i="64" s="1"/>
  <c r="V14" i="64"/>
  <c r="T14" i="64"/>
  <c r="P14" i="64"/>
  <c r="J14" i="64"/>
  <c r="H14" i="64"/>
  <c r="F14" i="64"/>
  <c r="D14" i="64"/>
  <c r="Z12" i="64"/>
  <c r="T12" i="64"/>
  <c r="V30" i="64" s="1"/>
  <c r="P12" i="64"/>
  <c r="R40" i="64" s="1"/>
  <c r="N12" i="64"/>
  <c r="L12" i="64"/>
  <c r="H12" i="64"/>
  <c r="J43" i="64" s="1"/>
  <c r="D12" i="64"/>
  <c r="F26" i="64" s="1"/>
  <c r="D6" i="64"/>
  <c r="D4" i="64"/>
  <c r="V41" i="63"/>
  <c r="F41" i="63"/>
  <c r="Z36" i="63"/>
  <c r="X36" i="63"/>
  <c r="V36" i="63"/>
  <c r="R36" i="63"/>
  <c r="N36" i="63"/>
  <c r="L36" i="63"/>
  <c r="F34" i="63"/>
  <c r="T32" i="63"/>
  <c r="Z32" i="63" s="1"/>
  <c r="P32" i="63"/>
  <c r="X32" i="63" s="1"/>
  <c r="N32" i="63"/>
  <c r="L32" i="63"/>
  <c r="H32" i="63"/>
  <c r="D32" i="63"/>
  <c r="Z30" i="63"/>
  <c r="X30" i="63"/>
  <c r="V30" i="63"/>
  <c r="R30" i="63"/>
  <c r="N30" i="63"/>
  <c r="L30" i="63"/>
  <c r="B30" i="63"/>
  <c r="Z29" i="63"/>
  <c r="X29" i="63"/>
  <c r="T29" i="63"/>
  <c r="P29" i="63"/>
  <c r="H29" i="63"/>
  <c r="N29" i="63" s="1"/>
  <c r="F29" i="63"/>
  <c r="D29" i="63"/>
  <c r="B29" i="63"/>
  <c r="Z28" i="63"/>
  <c r="X28" i="63"/>
  <c r="N28" i="63"/>
  <c r="L28" i="63"/>
  <c r="B28" i="63"/>
  <c r="T27" i="63"/>
  <c r="Z27" i="63" s="1"/>
  <c r="R27" i="63"/>
  <c r="P27" i="63"/>
  <c r="X27" i="63" s="1"/>
  <c r="H27" i="63"/>
  <c r="N27" i="63" s="1"/>
  <c r="D27" i="63"/>
  <c r="L27" i="63" s="1"/>
  <c r="B27" i="63"/>
  <c r="Z26" i="63"/>
  <c r="X26" i="63"/>
  <c r="N26" i="63"/>
  <c r="L26" i="63"/>
  <c r="J26" i="63"/>
  <c r="F26" i="63"/>
  <c r="B26" i="63"/>
  <c r="X25" i="63"/>
  <c r="Z25" i="63" s="1"/>
  <c r="L25" i="63"/>
  <c r="N25" i="63" s="1"/>
  <c r="J25" i="63"/>
  <c r="B25" i="63"/>
  <c r="T24" i="63"/>
  <c r="R24" i="63"/>
  <c r="P24" i="63"/>
  <c r="X24" i="63" s="1"/>
  <c r="Z24" i="63" s="1"/>
  <c r="H24" i="63"/>
  <c r="D24" i="63"/>
  <c r="L24" i="63" s="1"/>
  <c r="N24" i="63" s="1"/>
  <c r="B24" i="63"/>
  <c r="Z23" i="63"/>
  <c r="X23" i="63"/>
  <c r="N23" i="63"/>
  <c r="L23" i="63"/>
  <c r="F23" i="63"/>
  <c r="B23" i="63"/>
  <c r="Z22" i="63"/>
  <c r="X22" i="63"/>
  <c r="N22" i="63"/>
  <c r="L22" i="63"/>
  <c r="J22" i="63"/>
  <c r="F22" i="63"/>
  <c r="B22" i="63"/>
  <c r="Z21" i="63"/>
  <c r="X21" i="63"/>
  <c r="N21" i="63"/>
  <c r="L21" i="63"/>
  <c r="J21" i="63"/>
  <c r="B21" i="63"/>
  <c r="Z20" i="63"/>
  <c r="X20" i="63"/>
  <c r="L20" i="63"/>
  <c r="N20" i="63" s="1"/>
  <c r="B20" i="63"/>
  <c r="T19" i="63"/>
  <c r="Z19" i="63" s="1"/>
  <c r="P19" i="63"/>
  <c r="N19" i="63"/>
  <c r="H19" i="63"/>
  <c r="D19" i="63"/>
  <c r="L19" i="63" s="1"/>
  <c r="B19" i="63"/>
  <c r="T18" i="63"/>
  <c r="P18" i="63"/>
  <c r="X18" i="63" s="1"/>
  <c r="Z18" i="63" s="1"/>
  <c r="L18" i="63"/>
  <c r="N18" i="63" s="1"/>
  <c r="H18" i="63"/>
  <c r="D18" i="63"/>
  <c r="T16" i="63"/>
  <c r="F16" i="63"/>
  <c r="D16" i="63"/>
  <c r="D34" i="63" s="1"/>
  <c r="T14" i="63"/>
  <c r="Z14" i="63" s="1"/>
  <c r="P14" i="63"/>
  <c r="N14" i="63"/>
  <c r="L14" i="63"/>
  <c r="J14" i="63"/>
  <c r="H14" i="63"/>
  <c r="D14" i="63"/>
  <c r="T12" i="63"/>
  <c r="V34" i="63" s="1"/>
  <c r="P12" i="63"/>
  <c r="N12" i="63"/>
  <c r="H12" i="63"/>
  <c r="J38" i="63" s="1"/>
  <c r="D12" i="63"/>
  <c r="F25" i="63" s="1"/>
  <c r="D6" i="63"/>
  <c r="D4" i="63"/>
  <c r="Z87" i="62"/>
  <c r="X87" i="62"/>
  <c r="N87" i="62"/>
  <c r="L87" i="62"/>
  <c r="T83" i="62"/>
  <c r="R83" i="62"/>
  <c r="P83" i="62"/>
  <c r="L83" i="62"/>
  <c r="H83" i="62"/>
  <c r="N83" i="62" s="1"/>
  <c r="D83" i="62"/>
  <c r="B83" i="62"/>
  <c r="D82" i="62"/>
  <c r="Z80" i="62"/>
  <c r="X80" i="62"/>
  <c r="N80" i="62"/>
  <c r="L80" i="62"/>
  <c r="B80" i="62"/>
  <c r="V79" i="62"/>
  <c r="T79" i="62"/>
  <c r="P79" i="62"/>
  <c r="H79" i="62"/>
  <c r="D79" i="62"/>
  <c r="L79" i="62" s="1"/>
  <c r="N79" i="62" s="1"/>
  <c r="B79" i="62"/>
  <c r="X78" i="62"/>
  <c r="Z78" i="62" s="1"/>
  <c r="L78" i="62"/>
  <c r="N78" i="62" s="1"/>
  <c r="J78" i="62"/>
  <c r="B78" i="62"/>
  <c r="Z77" i="62"/>
  <c r="X77" i="62"/>
  <c r="N77" i="62"/>
  <c r="L77" i="62"/>
  <c r="B77" i="62"/>
  <c r="T76" i="62"/>
  <c r="R76" i="62"/>
  <c r="P76" i="62"/>
  <c r="H76" i="62"/>
  <c r="D76" i="62"/>
  <c r="L76" i="62" s="1"/>
  <c r="N76" i="62" s="1"/>
  <c r="B76" i="62"/>
  <c r="X75" i="62"/>
  <c r="Z75" i="62" s="1"/>
  <c r="L75" i="62"/>
  <c r="N75" i="62" s="1"/>
  <c r="F75" i="62"/>
  <c r="B75" i="62"/>
  <c r="T74" i="62"/>
  <c r="P74" i="62"/>
  <c r="X74" i="62" s="1"/>
  <c r="Z74" i="62" s="1"/>
  <c r="N74" i="62"/>
  <c r="H74" i="62"/>
  <c r="L74" i="62" s="1"/>
  <c r="D74" i="62"/>
  <c r="B74" i="62"/>
  <c r="Z73" i="62"/>
  <c r="X73" i="62"/>
  <c r="N73" i="62"/>
  <c r="L73" i="62"/>
  <c r="B73" i="62"/>
  <c r="T72" i="62"/>
  <c r="X72" i="62" s="1"/>
  <c r="Z72" i="62" s="1"/>
  <c r="P72" i="62"/>
  <c r="L72" i="62"/>
  <c r="H72" i="62"/>
  <c r="D72" i="62"/>
  <c r="B72" i="62"/>
  <c r="Z71" i="62"/>
  <c r="X71" i="62"/>
  <c r="V71" i="62"/>
  <c r="R71" i="62"/>
  <c r="N71" i="62"/>
  <c r="L71" i="62"/>
  <c r="B71" i="62"/>
  <c r="X70" i="62"/>
  <c r="Z70" i="62" s="1"/>
  <c r="L70" i="62"/>
  <c r="N70" i="62" s="1"/>
  <c r="B70" i="62"/>
  <c r="Z69" i="62"/>
  <c r="X69" i="62"/>
  <c r="N69" i="62"/>
  <c r="L69" i="62"/>
  <c r="B69" i="62"/>
  <c r="Z68" i="62"/>
  <c r="X68" i="62"/>
  <c r="N68" i="62"/>
  <c r="L68" i="62"/>
  <c r="B68" i="62"/>
  <c r="T67" i="62"/>
  <c r="P67" i="62"/>
  <c r="X67" i="62" s="1"/>
  <c r="L67" i="62"/>
  <c r="N67" i="62" s="1"/>
  <c r="H67" i="62"/>
  <c r="D67" i="62"/>
  <c r="B67" i="62"/>
  <c r="X66" i="62"/>
  <c r="Z66" i="62" s="1"/>
  <c r="L66" i="62"/>
  <c r="N66" i="62" s="1"/>
  <c r="B66" i="62"/>
  <c r="X65" i="62"/>
  <c r="Z65" i="62" s="1"/>
  <c r="L65" i="62"/>
  <c r="N65" i="62" s="1"/>
  <c r="B65" i="62"/>
  <c r="Z64" i="62"/>
  <c r="X64" i="62"/>
  <c r="N64" i="62"/>
  <c r="L64" i="62"/>
  <c r="B64" i="62"/>
  <c r="T63" i="62"/>
  <c r="Z63" i="62" s="1"/>
  <c r="P63" i="62"/>
  <c r="X63" i="62" s="1"/>
  <c r="L63" i="62"/>
  <c r="N63" i="62" s="1"/>
  <c r="H63" i="62"/>
  <c r="D63" i="62"/>
  <c r="B63" i="62"/>
  <c r="X62" i="62"/>
  <c r="Z62" i="62" s="1"/>
  <c r="V62" i="62"/>
  <c r="L62" i="62"/>
  <c r="N62" i="62" s="1"/>
  <c r="B62" i="62"/>
  <c r="X61" i="62"/>
  <c r="Z61" i="62" s="1"/>
  <c r="L61" i="62"/>
  <c r="N61" i="62" s="1"/>
  <c r="B61" i="62"/>
  <c r="Z60" i="62"/>
  <c r="X60" i="62"/>
  <c r="L60" i="62"/>
  <c r="N60" i="62" s="1"/>
  <c r="B60" i="62"/>
  <c r="T59" i="62"/>
  <c r="Z59" i="62" s="1"/>
  <c r="P59" i="62"/>
  <c r="X59" i="62" s="1"/>
  <c r="L59" i="62"/>
  <c r="N59" i="62" s="1"/>
  <c r="H59" i="62"/>
  <c r="D59" i="62"/>
  <c r="B59" i="62"/>
  <c r="X58" i="62"/>
  <c r="Z58" i="62" s="1"/>
  <c r="L58" i="62"/>
  <c r="N58" i="62" s="1"/>
  <c r="B58" i="62"/>
  <c r="X57" i="62"/>
  <c r="Z57" i="62" s="1"/>
  <c r="T57" i="62"/>
  <c r="P57" i="62"/>
  <c r="H57" i="62"/>
  <c r="D57" i="62"/>
  <c r="B57" i="62"/>
  <c r="X56" i="62"/>
  <c r="Z56" i="62" s="1"/>
  <c r="R56" i="62"/>
  <c r="N56" i="62"/>
  <c r="L56" i="62"/>
  <c r="B56" i="62"/>
  <c r="T55" i="62"/>
  <c r="P55" i="62"/>
  <c r="H55" i="62"/>
  <c r="N55" i="62" s="1"/>
  <c r="F55" i="62"/>
  <c r="D55" i="62"/>
  <c r="L55" i="62" s="1"/>
  <c r="B55" i="62"/>
  <c r="X54" i="62"/>
  <c r="Z54" i="62" s="1"/>
  <c r="L54" i="62"/>
  <c r="N54" i="62" s="1"/>
  <c r="B54" i="62"/>
  <c r="T53" i="62"/>
  <c r="Z53" i="62" s="1"/>
  <c r="R53" i="62"/>
  <c r="P53" i="62"/>
  <c r="X53" i="62" s="1"/>
  <c r="H53" i="62"/>
  <c r="D53" i="62"/>
  <c r="L53" i="62" s="1"/>
  <c r="B53" i="62"/>
  <c r="Z52" i="62"/>
  <c r="X52" i="62"/>
  <c r="N52" i="62"/>
  <c r="L52" i="62"/>
  <c r="B52" i="62"/>
  <c r="T51" i="62"/>
  <c r="Z51" i="62" s="1"/>
  <c r="P51" i="62"/>
  <c r="X51" i="62" s="1"/>
  <c r="N51" i="62"/>
  <c r="L51" i="62"/>
  <c r="H51" i="62"/>
  <c r="D51" i="62"/>
  <c r="B51" i="62"/>
  <c r="X50" i="62"/>
  <c r="Z50" i="62" s="1"/>
  <c r="N50" i="62"/>
  <c r="L50" i="62"/>
  <c r="B50" i="62"/>
  <c r="X49" i="62"/>
  <c r="Z49" i="62" s="1"/>
  <c r="T49" i="62"/>
  <c r="P49" i="62"/>
  <c r="H49" i="62"/>
  <c r="D49" i="62"/>
  <c r="B49" i="62"/>
  <c r="Z48" i="62"/>
  <c r="X48" i="62"/>
  <c r="N48" i="62"/>
  <c r="L48" i="62"/>
  <c r="B48" i="62"/>
  <c r="T47" i="62"/>
  <c r="P47" i="62"/>
  <c r="L47" i="62"/>
  <c r="H47" i="62"/>
  <c r="N47" i="62" s="1"/>
  <c r="D47" i="62"/>
  <c r="B47" i="62"/>
  <c r="Z46" i="62"/>
  <c r="X46" i="62"/>
  <c r="V46" i="62"/>
  <c r="N46" i="62"/>
  <c r="L46" i="62"/>
  <c r="B46" i="62"/>
  <c r="T45" i="62"/>
  <c r="Z45" i="62" s="1"/>
  <c r="P45" i="62"/>
  <c r="X45" i="62" s="1"/>
  <c r="L45" i="62"/>
  <c r="H45" i="62"/>
  <c r="N45" i="62" s="1"/>
  <c r="D45" i="62"/>
  <c r="B45" i="62"/>
  <c r="Z44" i="62"/>
  <c r="X44" i="62"/>
  <c r="N44" i="62"/>
  <c r="L44" i="62"/>
  <c r="B44" i="62"/>
  <c r="X43" i="62"/>
  <c r="Z43" i="62" s="1"/>
  <c r="L43" i="62"/>
  <c r="N43" i="62" s="1"/>
  <c r="B43" i="62"/>
  <c r="T42" i="62"/>
  <c r="P42" i="62"/>
  <c r="L42" i="62"/>
  <c r="N42" i="62" s="1"/>
  <c r="H42" i="62"/>
  <c r="D42" i="62"/>
  <c r="B42" i="62"/>
  <c r="X41" i="62"/>
  <c r="Z41" i="62" s="1"/>
  <c r="V41" i="62"/>
  <c r="L41" i="62"/>
  <c r="N41" i="62" s="1"/>
  <c r="B41" i="62"/>
  <c r="Z40" i="62"/>
  <c r="X40" i="62"/>
  <c r="T40" i="62"/>
  <c r="P40" i="62"/>
  <c r="J40" i="62"/>
  <c r="H40" i="62"/>
  <c r="D40" i="62"/>
  <c r="B40" i="62"/>
  <c r="Z39" i="62"/>
  <c r="X39" i="62"/>
  <c r="R39" i="62"/>
  <c r="N39" i="62"/>
  <c r="L39" i="62"/>
  <c r="B39" i="62"/>
  <c r="V38" i="62"/>
  <c r="T38" i="62"/>
  <c r="P38" i="62"/>
  <c r="H38" i="62"/>
  <c r="D38" i="62"/>
  <c r="L38" i="62" s="1"/>
  <c r="N38" i="62" s="1"/>
  <c r="B38" i="62"/>
  <c r="Z37" i="62"/>
  <c r="X37" i="62"/>
  <c r="N37" i="62"/>
  <c r="L37" i="62"/>
  <c r="B37" i="62"/>
  <c r="X36" i="62"/>
  <c r="Z36" i="62" s="1"/>
  <c r="N36" i="62"/>
  <c r="L36" i="62"/>
  <c r="B36" i="62"/>
  <c r="Z35" i="62"/>
  <c r="X35" i="62"/>
  <c r="R35" i="62"/>
  <c r="N35" i="62"/>
  <c r="L35" i="62"/>
  <c r="B35" i="62"/>
  <c r="X34" i="62"/>
  <c r="Z34" i="62" s="1"/>
  <c r="V34" i="62"/>
  <c r="R34" i="62"/>
  <c r="N34" i="62"/>
  <c r="L34" i="62"/>
  <c r="B34" i="62"/>
  <c r="X33" i="62"/>
  <c r="Z33" i="62" s="1"/>
  <c r="V33" i="62"/>
  <c r="L33" i="62"/>
  <c r="N33" i="62" s="1"/>
  <c r="B33" i="62"/>
  <c r="X32" i="62"/>
  <c r="Z32" i="62" s="1"/>
  <c r="L32" i="62"/>
  <c r="N32" i="62" s="1"/>
  <c r="B32" i="62"/>
  <c r="Z31" i="62"/>
  <c r="X31" i="62"/>
  <c r="N31" i="62"/>
  <c r="L31" i="62"/>
  <c r="B31" i="62"/>
  <c r="T30" i="62"/>
  <c r="Z30" i="62" s="1"/>
  <c r="P30" i="62"/>
  <c r="X30" i="62" s="1"/>
  <c r="L30" i="62"/>
  <c r="N30" i="62" s="1"/>
  <c r="H30" i="62"/>
  <c r="D30" i="62"/>
  <c r="B30" i="62"/>
  <c r="X29" i="62"/>
  <c r="Z29" i="62" s="1"/>
  <c r="V29" i="62"/>
  <c r="L29" i="62"/>
  <c r="N29" i="62" s="1"/>
  <c r="B29" i="62"/>
  <c r="Z28" i="62"/>
  <c r="X28" i="62"/>
  <c r="L28" i="62"/>
  <c r="N28" i="62" s="1"/>
  <c r="B28" i="62"/>
  <c r="Z27" i="62"/>
  <c r="X27" i="62"/>
  <c r="N27" i="62"/>
  <c r="L27" i="62"/>
  <c r="F27" i="62"/>
  <c r="B27" i="62"/>
  <c r="Z26" i="62"/>
  <c r="X26" i="62"/>
  <c r="N26" i="62"/>
  <c r="L26" i="62"/>
  <c r="B26" i="62"/>
  <c r="X25" i="62"/>
  <c r="Z25" i="62" s="1"/>
  <c r="L25" i="62"/>
  <c r="N25" i="62" s="1"/>
  <c r="B25" i="62"/>
  <c r="X24" i="62"/>
  <c r="Z24" i="62" s="1"/>
  <c r="N24" i="62"/>
  <c r="L24" i="62"/>
  <c r="B24" i="62"/>
  <c r="Z23" i="62"/>
  <c r="X23" i="62"/>
  <c r="R23" i="62"/>
  <c r="N23" i="62"/>
  <c r="L23" i="62"/>
  <c r="B23" i="62"/>
  <c r="X22" i="62"/>
  <c r="Z22" i="62" s="1"/>
  <c r="V22" i="62"/>
  <c r="R22" i="62"/>
  <c r="N22" i="62"/>
  <c r="L22" i="62"/>
  <c r="B22" i="62"/>
  <c r="X21" i="62"/>
  <c r="Z21" i="62" s="1"/>
  <c r="V21" i="62"/>
  <c r="L21" i="62"/>
  <c r="N21" i="62" s="1"/>
  <c r="B21" i="62"/>
  <c r="Z20" i="62"/>
  <c r="X20" i="62"/>
  <c r="L20" i="62"/>
  <c r="N20" i="62" s="1"/>
  <c r="B20" i="62"/>
  <c r="Z19" i="62"/>
  <c r="T19" i="62"/>
  <c r="X19" i="62" s="1"/>
  <c r="P19" i="62"/>
  <c r="L19" i="62"/>
  <c r="N19" i="62" s="1"/>
  <c r="H19" i="62"/>
  <c r="D19" i="62"/>
  <c r="B19" i="62"/>
  <c r="V18" i="62"/>
  <c r="T18" i="62"/>
  <c r="P18" i="62"/>
  <c r="H18" i="62"/>
  <c r="N18" i="62" s="1"/>
  <c r="D18" i="62"/>
  <c r="L18" i="62" s="1"/>
  <c r="P16" i="62"/>
  <c r="V14" i="62"/>
  <c r="T14" i="62"/>
  <c r="P14" i="62"/>
  <c r="H14" i="62"/>
  <c r="N14" i="62" s="1"/>
  <c r="D14" i="62"/>
  <c r="L14" i="62" s="1"/>
  <c r="T12" i="62"/>
  <c r="V58" i="62" s="1"/>
  <c r="P12" i="62"/>
  <c r="R43" i="62" s="1"/>
  <c r="H12" i="62"/>
  <c r="D12" i="62"/>
  <c r="D6" i="62"/>
  <c r="D4" i="62"/>
  <c r="J44" i="61"/>
  <c r="Z42" i="61"/>
  <c r="X42" i="61"/>
  <c r="N42" i="61"/>
  <c r="L42" i="61"/>
  <c r="R40" i="61"/>
  <c r="Z38" i="61"/>
  <c r="X38" i="61"/>
  <c r="T38" i="61"/>
  <c r="P38" i="61"/>
  <c r="J38" i="61"/>
  <c r="H38" i="61"/>
  <c r="D38" i="61"/>
  <c r="X36" i="61"/>
  <c r="Z36" i="61" s="1"/>
  <c r="N36" i="61"/>
  <c r="L36" i="61"/>
  <c r="B36" i="61"/>
  <c r="T35" i="61"/>
  <c r="P35" i="61"/>
  <c r="X35" i="61" s="1"/>
  <c r="H35" i="61"/>
  <c r="D35" i="61"/>
  <c r="L35" i="61" s="1"/>
  <c r="N35" i="61" s="1"/>
  <c r="B35" i="61"/>
  <c r="Z34" i="61"/>
  <c r="X34" i="61"/>
  <c r="L34" i="61"/>
  <c r="N34" i="61" s="1"/>
  <c r="J34" i="61"/>
  <c r="F34" i="61"/>
  <c r="B34" i="61"/>
  <c r="T33" i="61"/>
  <c r="P33" i="61"/>
  <c r="X33" i="61" s="1"/>
  <c r="Z33" i="61" s="1"/>
  <c r="H33" i="61"/>
  <c r="L33" i="61" s="1"/>
  <c r="N33" i="61" s="1"/>
  <c r="D33" i="61"/>
  <c r="B33" i="61"/>
  <c r="Z32" i="61"/>
  <c r="X32" i="61"/>
  <c r="N32" i="61"/>
  <c r="L32" i="61"/>
  <c r="B32" i="61"/>
  <c r="Z31" i="61"/>
  <c r="T31" i="61"/>
  <c r="X31" i="61" s="1"/>
  <c r="P31" i="61"/>
  <c r="N31" i="61"/>
  <c r="L31" i="61"/>
  <c r="J31" i="61"/>
  <c r="H31" i="61"/>
  <c r="D31" i="61"/>
  <c r="B31" i="61"/>
  <c r="X30" i="61"/>
  <c r="Z30" i="61" s="1"/>
  <c r="N30" i="61"/>
  <c r="L30" i="61"/>
  <c r="B30" i="61"/>
  <c r="X29" i="61"/>
  <c r="Z29" i="61" s="1"/>
  <c r="V29" i="61"/>
  <c r="L29" i="61"/>
  <c r="N29" i="61" s="1"/>
  <c r="B29" i="61"/>
  <c r="X28" i="61"/>
  <c r="Z28" i="61" s="1"/>
  <c r="L28" i="61"/>
  <c r="N28" i="61" s="1"/>
  <c r="B28" i="61"/>
  <c r="T27" i="61"/>
  <c r="X27" i="61" s="1"/>
  <c r="Z27" i="61" s="1"/>
  <c r="P27" i="61"/>
  <c r="L27" i="61"/>
  <c r="N27" i="61" s="1"/>
  <c r="J27" i="61"/>
  <c r="H27" i="61"/>
  <c r="D27" i="61"/>
  <c r="B27" i="61"/>
  <c r="Z26" i="61"/>
  <c r="X26" i="61"/>
  <c r="N26" i="61"/>
  <c r="L26" i="61"/>
  <c r="B26" i="61"/>
  <c r="X25" i="61"/>
  <c r="Z25" i="61" s="1"/>
  <c r="V25" i="61"/>
  <c r="L25" i="61"/>
  <c r="N25" i="61" s="1"/>
  <c r="B25" i="61"/>
  <c r="X24" i="61"/>
  <c r="Z24" i="61" s="1"/>
  <c r="L24" i="61"/>
  <c r="N24" i="61" s="1"/>
  <c r="B24" i="61"/>
  <c r="Z23" i="61"/>
  <c r="X23" i="61"/>
  <c r="N23" i="61"/>
  <c r="L23" i="61"/>
  <c r="J23" i="61"/>
  <c r="F23" i="61"/>
  <c r="B23" i="61"/>
  <c r="Z22" i="61"/>
  <c r="X22" i="61"/>
  <c r="L22" i="61"/>
  <c r="N22" i="61" s="1"/>
  <c r="J22" i="61"/>
  <c r="F22" i="61"/>
  <c r="B22" i="61"/>
  <c r="X21" i="61"/>
  <c r="Z21" i="61" s="1"/>
  <c r="L21" i="61"/>
  <c r="N21" i="61" s="1"/>
  <c r="J21" i="61"/>
  <c r="B21" i="61"/>
  <c r="X20" i="61"/>
  <c r="Z20" i="61" s="1"/>
  <c r="N20" i="61"/>
  <c r="L20" i="61"/>
  <c r="B20" i="61"/>
  <c r="T19" i="61"/>
  <c r="R19" i="61"/>
  <c r="P19" i="61"/>
  <c r="X19" i="61" s="1"/>
  <c r="H19" i="61"/>
  <c r="D19" i="61"/>
  <c r="L19" i="61" s="1"/>
  <c r="N19" i="61" s="1"/>
  <c r="B19" i="61"/>
  <c r="T18" i="61"/>
  <c r="P18" i="61"/>
  <c r="X18" i="61" s="1"/>
  <c r="L18" i="61"/>
  <c r="N18" i="61" s="1"/>
  <c r="H18" i="61"/>
  <c r="D18" i="61"/>
  <c r="V16" i="61"/>
  <c r="T16" i="61"/>
  <c r="H16" i="61"/>
  <c r="N16" i="61" s="1"/>
  <c r="F16" i="61"/>
  <c r="D16" i="61"/>
  <c r="T14" i="61"/>
  <c r="Z14" i="61" s="1"/>
  <c r="P14" i="61"/>
  <c r="X14" i="61" s="1"/>
  <c r="N14" i="61"/>
  <c r="L14" i="61"/>
  <c r="H14" i="61"/>
  <c r="D14" i="61"/>
  <c r="T12" i="61"/>
  <c r="P12" i="61"/>
  <c r="H12" i="61"/>
  <c r="J42" i="61" s="1"/>
  <c r="D12" i="61"/>
  <c r="F44" i="61" s="1"/>
  <c r="D6" i="61"/>
  <c r="D4" i="61"/>
  <c r="R44" i="60"/>
  <c r="Z42" i="60"/>
  <c r="X42" i="60"/>
  <c r="N42" i="60"/>
  <c r="L42" i="60"/>
  <c r="J40" i="60"/>
  <c r="T38" i="60"/>
  <c r="Z38" i="60" s="1"/>
  <c r="R38" i="60"/>
  <c r="P38" i="60"/>
  <c r="X38" i="60" s="1"/>
  <c r="H38" i="60"/>
  <c r="N38" i="60" s="1"/>
  <c r="D38" i="60"/>
  <c r="L38" i="60" s="1"/>
  <c r="X36" i="60"/>
  <c r="Z36" i="60" s="1"/>
  <c r="L36" i="60"/>
  <c r="N36" i="60" s="1"/>
  <c r="B36" i="60"/>
  <c r="T35" i="60"/>
  <c r="X35" i="60" s="1"/>
  <c r="Z35" i="60" s="1"/>
  <c r="P35" i="60"/>
  <c r="L35" i="60"/>
  <c r="N35" i="60" s="1"/>
  <c r="H35" i="60"/>
  <c r="D35" i="60"/>
  <c r="B35" i="60"/>
  <c r="X34" i="60"/>
  <c r="Z34" i="60" s="1"/>
  <c r="V34" i="60"/>
  <c r="R34" i="60"/>
  <c r="N34" i="60"/>
  <c r="L34" i="60"/>
  <c r="B34" i="60"/>
  <c r="X33" i="60"/>
  <c r="Z33" i="60" s="1"/>
  <c r="V33" i="60"/>
  <c r="L33" i="60"/>
  <c r="N33" i="60" s="1"/>
  <c r="B33" i="60"/>
  <c r="X32" i="60"/>
  <c r="Z32" i="60" s="1"/>
  <c r="T32" i="60"/>
  <c r="P32" i="60"/>
  <c r="H32" i="60"/>
  <c r="D32" i="60"/>
  <c r="B32" i="60"/>
  <c r="Z31" i="60"/>
  <c r="X31" i="60"/>
  <c r="V31" i="60"/>
  <c r="R31" i="60"/>
  <c r="N31" i="60"/>
  <c r="L31" i="60"/>
  <c r="B31" i="60"/>
  <c r="V30" i="60"/>
  <c r="T30" i="60"/>
  <c r="P30" i="60"/>
  <c r="H30" i="60"/>
  <c r="F30" i="60"/>
  <c r="D30" i="60"/>
  <c r="L30" i="60" s="1"/>
  <c r="B30" i="60"/>
  <c r="X29" i="60"/>
  <c r="Z29" i="60" s="1"/>
  <c r="V29" i="60"/>
  <c r="L29" i="60"/>
  <c r="N29" i="60" s="1"/>
  <c r="B29" i="60"/>
  <c r="T28" i="60"/>
  <c r="Z28" i="60" s="1"/>
  <c r="R28" i="60"/>
  <c r="P28" i="60"/>
  <c r="X28" i="60" s="1"/>
  <c r="H28" i="60"/>
  <c r="D28" i="60"/>
  <c r="L28" i="60" s="1"/>
  <c r="B28" i="60"/>
  <c r="Z27" i="60"/>
  <c r="X27" i="60"/>
  <c r="N27" i="60"/>
  <c r="L27" i="60"/>
  <c r="B27" i="60"/>
  <c r="Z26" i="60"/>
  <c r="X26" i="60"/>
  <c r="L26" i="60"/>
  <c r="N26" i="60" s="1"/>
  <c r="F26" i="60"/>
  <c r="B26" i="60"/>
  <c r="X25" i="60"/>
  <c r="Z25" i="60" s="1"/>
  <c r="V25" i="60"/>
  <c r="L25" i="60"/>
  <c r="N25" i="60" s="1"/>
  <c r="B25" i="60"/>
  <c r="X24" i="60"/>
  <c r="Z24" i="60" s="1"/>
  <c r="N24" i="60"/>
  <c r="L24" i="60"/>
  <c r="B24" i="60"/>
  <c r="Z23" i="60"/>
  <c r="X23" i="60"/>
  <c r="V23" i="60"/>
  <c r="R23" i="60"/>
  <c r="N23" i="60"/>
  <c r="L23" i="60"/>
  <c r="B23" i="60"/>
  <c r="X22" i="60"/>
  <c r="Z22" i="60" s="1"/>
  <c r="V22" i="60"/>
  <c r="R22" i="60"/>
  <c r="N22" i="60"/>
  <c r="L22" i="60"/>
  <c r="B22" i="60"/>
  <c r="X21" i="60"/>
  <c r="Z21" i="60" s="1"/>
  <c r="V21" i="60"/>
  <c r="L21" i="60"/>
  <c r="N21" i="60" s="1"/>
  <c r="B21" i="60"/>
  <c r="Z20" i="60"/>
  <c r="X20" i="60"/>
  <c r="L20" i="60"/>
  <c r="N20" i="60" s="1"/>
  <c r="B20" i="60"/>
  <c r="Z19" i="60"/>
  <c r="T19" i="60"/>
  <c r="X19" i="60" s="1"/>
  <c r="P19" i="60"/>
  <c r="L19" i="60"/>
  <c r="N19" i="60" s="1"/>
  <c r="J19" i="60"/>
  <c r="H19" i="60"/>
  <c r="D19" i="60"/>
  <c r="B19" i="60"/>
  <c r="V18" i="60"/>
  <c r="T18" i="60"/>
  <c r="P18" i="60"/>
  <c r="H18" i="60"/>
  <c r="N18" i="60" s="1"/>
  <c r="F18" i="60"/>
  <c r="D18" i="60"/>
  <c r="L18" i="60" s="1"/>
  <c r="P16" i="60"/>
  <c r="V14" i="60"/>
  <c r="T14" i="60"/>
  <c r="P14" i="60"/>
  <c r="H14" i="60"/>
  <c r="N14" i="60" s="1"/>
  <c r="D14" i="60"/>
  <c r="L14" i="60" s="1"/>
  <c r="T12" i="60"/>
  <c r="V47" i="60" s="1"/>
  <c r="P12" i="60"/>
  <c r="R33" i="60" s="1"/>
  <c r="H12" i="60"/>
  <c r="D12" i="60"/>
  <c r="D6" i="60"/>
  <c r="D4" i="60"/>
  <c r="J52" i="59"/>
  <c r="Z50" i="59"/>
  <c r="X50" i="59"/>
  <c r="N50" i="59"/>
  <c r="L50" i="59"/>
  <c r="Z46" i="59"/>
  <c r="X46" i="59"/>
  <c r="T46" i="59"/>
  <c r="P46" i="59"/>
  <c r="J46" i="59"/>
  <c r="H46" i="59"/>
  <c r="D46" i="59"/>
  <c r="X44" i="59"/>
  <c r="Z44" i="59" s="1"/>
  <c r="N44" i="59"/>
  <c r="L44" i="59"/>
  <c r="B44" i="59"/>
  <c r="Z43" i="59"/>
  <c r="X43" i="59"/>
  <c r="N43" i="59"/>
  <c r="L43" i="59"/>
  <c r="B43" i="59"/>
  <c r="V42" i="59"/>
  <c r="T42" i="59"/>
  <c r="P42" i="59"/>
  <c r="H42" i="59"/>
  <c r="D42" i="59"/>
  <c r="L42" i="59" s="1"/>
  <c r="B42" i="59"/>
  <c r="X41" i="59"/>
  <c r="Z41" i="59" s="1"/>
  <c r="L41" i="59"/>
  <c r="N41" i="59" s="1"/>
  <c r="J41" i="59"/>
  <c r="B41" i="59"/>
  <c r="T40" i="59"/>
  <c r="P40" i="59"/>
  <c r="X40" i="59" s="1"/>
  <c r="H40" i="59"/>
  <c r="N40" i="59" s="1"/>
  <c r="D40" i="59"/>
  <c r="L40" i="59" s="1"/>
  <c r="B40" i="59"/>
  <c r="Z39" i="59"/>
  <c r="X39" i="59"/>
  <c r="N39" i="59"/>
  <c r="L39" i="59"/>
  <c r="B39" i="59"/>
  <c r="Z38" i="59"/>
  <c r="X38" i="59"/>
  <c r="N38" i="59"/>
  <c r="L38" i="59"/>
  <c r="J38" i="59"/>
  <c r="B38" i="59"/>
  <c r="T37" i="59"/>
  <c r="P37" i="59"/>
  <c r="X37" i="59" s="1"/>
  <c r="Z37" i="59" s="1"/>
  <c r="N37" i="59"/>
  <c r="L37" i="59"/>
  <c r="H37" i="59"/>
  <c r="D37" i="59"/>
  <c r="B37" i="59"/>
  <c r="X36" i="59"/>
  <c r="Z36" i="59" s="1"/>
  <c r="L36" i="59"/>
  <c r="N36" i="59" s="1"/>
  <c r="B36" i="59"/>
  <c r="Z35" i="59"/>
  <c r="X35" i="59"/>
  <c r="T35" i="59"/>
  <c r="P35" i="59"/>
  <c r="L35" i="59"/>
  <c r="N35" i="59" s="1"/>
  <c r="J35" i="59"/>
  <c r="H35" i="59"/>
  <c r="D35" i="59"/>
  <c r="B35" i="59"/>
  <c r="X34" i="59"/>
  <c r="Z34" i="59" s="1"/>
  <c r="N34" i="59"/>
  <c r="L34" i="59"/>
  <c r="B34" i="59"/>
  <c r="X33" i="59"/>
  <c r="Z33" i="59" s="1"/>
  <c r="V33" i="59"/>
  <c r="T33" i="59"/>
  <c r="P33" i="59"/>
  <c r="J33" i="59"/>
  <c r="H33" i="59"/>
  <c r="F33" i="59"/>
  <c r="D33" i="59"/>
  <c r="L33" i="59" s="1"/>
  <c r="B33" i="59"/>
  <c r="X32" i="59"/>
  <c r="Z32" i="59" s="1"/>
  <c r="N32" i="59"/>
  <c r="L32" i="59"/>
  <c r="B32" i="59"/>
  <c r="Z31" i="59"/>
  <c r="X31" i="59"/>
  <c r="R31" i="59"/>
  <c r="N31" i="59"/>
  <c r="L31" i="59"/>
  <c r="B31" i="59"/>
  <c r="X30" i="59"/>
  <c r="Z30" i="59" s="1"/>
  <c r="R30" i="59"/>
  <c r="N30" i="59"/>
  <c r="L30" i="59"/>
  <c r="B30" i="59"/>
  <c r="X29" i="59"/>
  <c r="Z29" i="59" s="1"/>
  <c r="V29" i="59"/>
  <c r="T29" i="59"/>
  <c r="P29" i="59"/>
  <c r="J29" i="59"/>
  <c r="H29" i="59"/>
  <c r="D29" i="59"/>
  <c r="B29" i="59"/>
  <c r="X28" i="59"/>
  <c r="Z28" i="59" s="1"/>
  <c r="N28" i="59"/>
  <c r="L28" i="59"/>
  <c r="B28" i="59"/>
  <c r="Z27" i="59"/>
  <c r="X27" i="59"/>
  <c r="R27" i="59"/>
  <c r="N27" i="59"/>
  <c r="L27" i="59"/>
  <c r="B27" i="59"/>
  <c r="X26" i="59"/>
  <c r="Z26" i="59" s="1"/>
  <c r="V26" i="59"/>
  <c r="R26" i="59"/>
  <c r="N26" i="59"/>
  <c r="L26" i="59"/>
  <c r="B26" i="59"/>
  <c r="X25" i="59"/>
  <c r="Z25" i="59" s="1"/>
  <c r="L25" i="59"/>
  <c r="N25" i="59" s="1"/>
  <c r="J25" i="59"/>
  <c r="B25" i="59"/>
  <c r="X24" i="59"/>
  <c r="Z24" i="59" s="1"/>
  <c r="L24" i="59"/>
  <c r="N24" i="59" s="1"/>
  <c r="B24" i="59"/>
  <c r="Z23" i="59"/>
  <c r="X23" i="59"/>
  <c r="N23" i="59"/>
  <c r="L23" i="59"/>
  <c r="J23" i="59"/>
  <c r="B23" i="59"/>
  <c r="Z22" i="59"/>
  <c r="X22" i="59"/>
  <c r="L22" i="59"/>
  <c r="N22" i="59" s="1"/>
  <c r="J22" i="59"/>
  <c r="F22" i="59"/>
  <c r="B22" i="59"/>
  <c r="X21" i="59"/>
  <c r="Z21" i="59" s="1"/>
  <c r="L21" i="59"/>
  <c r="N21" i="59" s="1"/>
  <c r="J21" i="59"/>
  <c r="B21" i="59"/>
  <c r="X20" i="59"/>
  <c r="Z20" i="59" s="1"/>
  <c r="L20" i="59"/>
  <c r="N20" i="59" s="1"/>
  <c r="B20" i="59"/>
  <c r="T19" i="59"/>
  <c r="R19" i="59"/>
  <c r="P19" i="59"/>
  <c r="X19" i="59" s="1"/>
  <c r="J19" i="59"/>
  <c r="H19" i="59"/>
  <c r="D19" i="59"/>
  <c r="L19" i="59" s="1"/>
  <c r="B19" i="59"/>
  <c r="T18" i="59"/>
  <c r="P18" i="59"/>
  <c r="X18" i="59" s="1"/>
  <c r="L18" i="59"/>
  <c r="N18" i="59" s="1"/>
  <c r="H18" i="59"/>
  <c r="D18" i="59"/>
  <c r="V16" i="59"/>
  <c r="T16" i="59"/>
  <c r="H16" i="59"/>
  <c r="F16" i="59"/>
  <c r="T14" i="59"/>
  <c r="Z14" i="59" s="1"/>
  <c r="P14" i="59"/>
  <c r="X14" i="59" s="1"/>
  <c r="N14" i="59"/>
  <c r="L14" i="59"/>
  <c r="H14" i="59"/>
  <c r="D14" i="59"/>
  <c r="X12" i="59"/>
  <c r="T12" i="59"/>
  <c r="V30" i="59" s="1"/>
  <c r="P12" i="59"/>
  <c r="R48" i="59" s="1"/>
  <c r="N12" i="59"/>
  <c r="H12" i="59"/>
  <c r="J50" i="59" s="1"/>
  <c r="D12" i="59"/>
  <c r="F23" i="59" s="1"/>
  <c r="D6" i="59"/>
  <c r="D4" i="59"/>
  <c r="R61" i="58"/>
  <c r="Z59" i="58"/>
  <c r="X59" i="58"/>
  <c r="N59" i="58"/>
  <c r="L59" i="58"/>
  <c r="F59" i="58"/>
  <c r="T55" i="58"/>
  <c r="P55" i="58"/>
  <c r="H55" i="58"/>
  <c r="N55" i="58" s="1"/>
  <c r="D55" i="58"/>
  <c r="L55" i="58" s="1"/>
  <c r="Z53" i="58"/>
  <c r="X53" i="58"/>
  <c r="L53" i="58"/>
  <c r="N53" i="58" s="1"/>
  <c r="F53" i="58"/>
  <c r="B53" i="58"/>
  <c r="T52" i="58"/>
  <c r="X52" i="58" s="1"/>
  <c r="Z52" i="58" s="1"/>
  <c r="R52" i="58"/>
  <c r="P52" i="58"/>
  <c r="N52" i="58"/>
  <c r="L52" i="58"/>
  <c r="J52" i="58"/>
  <c r="H52" i="58"/>
  <c r="D52" i="58"/>
  <c r="B52" i="58"/>
  <c r="Z51" i="58"/>
  <c r="X51" i="58"/>
  <c r="N51" i="58"/>
  <c r="L51" i="58"/>
  <c r="B51" i="58"/>
  <c r="Z50" i="58"/>
  <c r="X50" i="58"/>
  <c r="L50" i="58"/>
  <c r="N50" i="58" s="1"/>
  <c r="J50" i="58"/>
  <c r="B50" i="58"/>
  <c r="X49" i="58"/>
  <c r="Z49" i="58" s="1"/>
  <c r="L49" i="58"/>
  <c r="N49" i="58" s="1"/>
  <c r="B49" i="58"/>
  <c r="Z48" i="58"/>
  <c r="X48" i="58"/>
  <c r="N48" i="58"/>
  <c r="L48" i="58"/>
  <c r="B48" i="58"/>
  <c r="T47" i="58"/>
  <c r="P47" i="58"/>
  <c r="N47" i="58"/>
  <c r="H47" i="58"/>
  <c r="D47" i="58"/>
  <c r="L47" i="58" s="1"/>
  <c r="B47" i="58"/>
  <c r="Z46" i="58"/>
  <c r="X46" i="58"/>
  <c r="N46" i="58"/>
  <c r="L46" i="58"/>
  <c r="B46" i="58"/>
  <c r="Z45" i="58"/>
  <c r="X45" i="58"/>
  <c r="T45" i="58"/>
  <c r="P45" i="58"/>
  <c r="L45" i="58"/>
  <c r="H45" i="58"/>
  <c r="N45" i="58" s="1"/>
  <c r="D45" i="58"/>
  <c r="B45" i="58"/>
  <c r="Z44" i="58"/>
  <c r="X44" i="58"/>
  <c r="R44" i="58"/>
  <c r="N44" i="58"/>
  <c r="L44" i="58"/>
  <c r="B44" i="58"/>
  <c r="X43" i="58"/>
  <c r="T43" i="58"/>
  <c r="P43" i="58"/>
  <c r="N43" i="58"/>
  <c r="H43" i="58"/>
  <c r="D43" i="58"/>
  <c r="L43" i="58" s="1"/>
  <c r="B43" i="58"/>
  <c r="X42" i="58"/>
  <c r="Z42" i="58" s="1"/>
  <c r="N42" i="58"/>
  <c r="L42" i="58"/>
  <c r="B42" i="58"/>
  <c r="Z41" i="58"/>
  <c r="X41" i="58"/>
  <c r="R41" i="58"/>
  <c r="N41" i="58"/>
  <c r="L41" i="58"/>
  <c r="B41" i="58"/>
  <c r="T40" i="58"/>
  <c r="R40" i="58"/>
  <c r="P40" i="58"/>
  <c r="X40" i="58" s="1"/>
  <c r="Z40" i="58" s="1"/>
  <c r="H40" i="58"/>
  <c r="D40" i="58"/>
  <c r="L40" i="58" s="1"/>
  <c r="N40" i="58" s="1"/>
  <c r="B40" i="58"/>
  <c r="Z39" i="58"/>
  <c r="X39" i="58"/>
  <c r="L39" i="58"/>
  <c r="N39" i="58" s="1"/>
  <c r="B39" i="58"/>
  <c r="T38" i="58"/>
  <c r="P38" i="58"/>
  <c r="X38" i="58" s="1"/>
  <c r="Z38" i="58" s="1"/>
  <c r="H38" i="58"/>
  <c r="L38" i="58" s="1"/>
  <c r="N38" i="58" s="1"/>
  <c r="D38" i="58"/>
  <c r="B38" i="58"/>
  <c r="Z37" i="58"/>
  <c r="X37" i="58"/>
  <c r="N37" i="58"/>
  <c r="L37" i="58"/>
  <c r="B37" i="58"/>
  <c r="T36" i="58"/>
  <c r="Z36" i="58" s="1"/>
  <c r="R36" i="58"/>
  <c r="P36" i="58"/>
  <c r="N36" i="58"/>
  <c r="L36" i="58"/>
  <c r="J36" i="58"/>
  <c r="H36" i="58"/>
  <c r="D36" i="58"/>
  <c r="B36" i="58"/>
  <c r="X35" i="58"/>
  <c r="Z35" i="58" s="1"/>
  <c r="R35" i="58"/>
  <c r="N35" i="58"/>
  <c r="L35" i="58"/>
  <c r="B35" i="58"/>
  <c r="T34" i="58"/>
  <c r="P34" i="58"/>
  <c r="X34" i="58" s="1"/>
  <c r="Z34" i="58" s="1"/>
  <c r="H34" i="58"/>
  <c r="N34" i="58" s="1"/>
  <c r="F34" i="58"/>
  <c r="D34" i="58"/>
  <c r="L34" i="58" s="1"/>
  <c r="B34" i="58"/>
  <c r="X33" i="58"/>
  <c r="Z33" i="58" s="1"/>
  <c r="L33" i="58"/>
  <c r="N33" i="58" s="1"/>
  <c r="B33" i="58"/>
  <c r="Z32" i="58"/>
  <c r="X32" i="58"/>
  <c r="L32" i="58"/>
  <c r="N32" i="58" s="1"/>
  <c r="F32" i="58"/>
  <c r="B32" i="58"/>
  <c r="X31" i="58"/>
  <c r="Z31" i="58" s="1"/>
  <c r="R31" i="58"/>
  <c r="N31" i="58"/>
  <c r="L31" i="58"/>
  <c r="F31" i="58"/>
  <c r="B31" i="58"/>
  <c r="Z30" i="58"/>
  <c r="X30" i="58"/>
  <c r="L30" i="58"/>
  <c r="N30" i="58" s="1"/>
  <c r="B30" i="58"/>
  <c r="X29" i="58"/>
  <c r="Z29" i="58" s="1"/>
  <c r="T29" i="58"/>
  <c r="P29" i="58"/>
  <c r="H29" i="58"/>
  <c r="D29" i="58"/>
  <c r="B29" i="58"/>
  <c r="Z28" i="58"/>
  <c r="X28" i="58"/>
  <c r="R28" i="58"/>
  <c r="L28" i="58"/>
  <c r="N28" i="58" s="1"/>
  <c r="B28" i="58"/>
  <c r="X27" i="58"/>
  <c r="Z27" i="58" s="1"/>
  <c r="R27" i="58"/>
  <c r="N27" i="58"/>
  <c r="L27" i="58"/>
  <c r="B27" i="58"/>
  <c r="X26" i="58"/>
  <c r="Z26" i="58" s="1"/>
  <c r="R26" i="58"/>
  <c r="L26" i="58"/>
  <c r="N26" i="58" s="1"/>
  <c r="B26" i="58"/>
  <c r="Z25" i="58"/>
  <c r="X25" i="58"/>
  <c r="L25" i="58"/>
  <c r="N25" i="58" s="1"/>
  <c r="B25" i="58"/>
  <c r="Z24" i="58"/>
  <c r="X24" i="58"/>
  <c r="R24" i="58"/>
  <c r="N24" i="58"/>
  <c r="L24" i="58"/>
  <c r="B24" i="58"/>
  <c r="X23" i="58"/>
  <c r="Z23" i="58" s="1"/>
  <c r="R23" i="58"/>
  <c r="N23" i="58"/>
  <c r="L23" i="58"/>
  <c r="F23" i="58"/>
  <c r="B23" i="58"/>
  <c r="X22" i="58"/>
  <c r="Z22" i="58" s="1"/>
  <c r="R22" i="58"/>
  <c r="N22" i="58"/>
  <c r="L22" i="58"/>
  <c r="J22" i="58"/>
  <c r="B22" i="58"/>
  <c r="X21" i="58"/>
  <c r="Z21" i="58" s="1"/>
  <c r="R21" i="58"/>
  <c r="L21" i="58"/>
  <c r="N21" i="58" s="1"/>
  <c r="B21" i="58"/>
  <c r="Z20" i="58"/>
  <c r="X20" i="58"/>
  <c r="R20" i="58"/>
  <c r="N20" i="58"/>
  <c r="L20" i="58"/>
  <c r="B20" i="58"/>
  <c r="T19" i="58"/>
  <c r="P19" i="58"/>
  <c r="H19" i="58"/>
  <c r="N19" i="58" s="1"/>
  <c r="D19" i="58"/>
  <c r="L19" i="58" s="1"/>
  <c r="B19" i="58"/>
  <c r="T18" i="58"/>
  <c r="R18" i="58"/>
  <c r="P18" i="58"/>
  <c r="X18" i="58" s="1"/>
  <c r="N18" i="58"/>
  <c r="H18" i="58"/>
  <c r="F18" i="58"/>
  <c r="D18" i="58"/>
  <c r="L18" i="58" s="1"/>
  <c r="F16" i="58"/>
  <c r="T14" i="58"/>
  <c r="Z14" i="58" s="1"/>
  <c r="R14" i="58"/>
  <c r="P14" i="58"/>
  <c r="P16" i="58" s="1"/>
  <c r="N14" i="58"/>
  <c r="H14" i="58"/>
  <c r="F14" i="58"/>
  <c r="D14" i="58"/>
  <c r="L14" i="58" s="1"/>
  <c r="T12" i="58"/>
  <c r="V38" i="58" s="1"/>
  <c r="P12" i="58"/>
  <c r="R39" i="58" s="1"/>
  <c r="H12" i="58"/>
  <c r="J57" i="58" s="1"/>
  <c r="D12" i="58"/>
  <c r="F29" i="58" s="1"/>
  <c r="D6" i="58"/>
  <c r="D4" i="58"/>
  <c r="R60" i="57"/>
  <c r="J60" i="57"/>
  <c r="R57" i="57"/>
  <c r="Z55" i="57"/>
  <c r="X55" i="57"/>
  <c r="N55" i="57"/>
  <c r="L55" i="57"/>
  <c r="R53" i="57"/>
  <c r="J53" i="57"/>
  <c r="Z51" i="57"/>
  <c r="X51" i="57"/>
  <c r="T51" i="57"/>
  <c r="R51" i="57"/>
  <c r="P51" i="57"/>
  <c r="J51" i="57"/>
  <c r="H51" i="57"/>
  <c r="N51" i="57" s="1"/>
  <c r="D51" i="57"/>
  <c r="L51" i="57" s="1"/>
  <c r="Z49" i="57"/>
  <c r="X49" i="57"/>
  <c r="N49" i="57"/>
  <c r="L49" i="57"/>
  <c r="B49" i="57"/>
  <c r="T48" i="57"/>
  <c r="R48" i="57"/>
  <c r="P48" i="57"/>
  <c r="X48" i="57" s="1"/>
  <c r="L48" i="57"/>
  <c r="N48" i="57" s="1"/>
  <c r="H48" i="57"/>
  <c r="D48" i="57"/>
  <c r="B48" i="57"/>
  <c r="X47" i="57"/>
  <c r="Z47" i="57" s="1"/>
  <c r="V47" i="57"/>
  <c r="L47" i="57"/>
  <c r="N47" i="57" s="1"/>
  <c r="J47" i="57"/>
  <c r="B47" i="57"/>
  <c r="X46" i="57"/>
  <c r="Z46" i="57" s="1"/>
  <c r="T46" i="57"/>
  <c r="P46" i="57"/>
  <c r="H46" i="57"/>
  <c r="D46" i="57"/>
  <c r="B46" i="57"/>
  <c r="Z45" i="57"/>
  <c r="X45" i="57"/>
  <c r="V45" i="57"/>
  <c r="N45" i="57"/>
  <c r="L45" i="57"/>
  <c r="B45" i="57"/>
  <c r="Z44" i="57"/>
  <c r="X44" i="57"/>
  <c r="V44" i="57"/>
  <c r="R44" i="57"/>
  <c r="L44" i="57"/>
  <c r="N44" i="57" s="1"/>
  <c r="F44" i="57"/>
  <c r="B44" i="57"/>
  <c r="V43" i="57"/>
  <c r="T43" i="57"/>
  <c r="P43" i="57"/>
  <c r="X43" i="57" s="1"/>
  <c r="Z43" i="57" s="1"/>
  <c r="N43" i="57"/>
  <c r="L43" i="57"/>
  <c r="H43" i="57"/>
  <c r="F43" i="57"/>
  <c r="D43" i="57"/>
  <c r="B43" i="57"/>
  <c r="X42" i="57"/>
  <c r="Z42" i="57" s="1"/>
  <c r="V42" i="57"/>
  <c r="R42" i="57"/>
  <c r="L42" i="57"/>
  <c r="N42" i="57" s="1"/>
  <c r="B42" i="57"/>
  <c r="Z41" i="57"/>
  <c r="X41" i="57"/>
  <c r="V41" i="57"/>
  <c r="T41" i="57"/>
  <c r="R41" i="57"/>
  <c r="P41" i="57"/>
  <c r="J41" i="57"/>
  <c r="H41" i="57"/>
  <c r="D41" i="57"/>
  <c r="L41" i="57" s="1"/>
  <c r="B41" i="57"/>
  <c r="X40" i="57"/>
  <c r="Z40" i="57" s="1"/>
  <c r="V40" i="57"/>
  <c r="R40" i="57"/>
  <c r="N40" i="57"/>
  <c r="L40" i="57"/>
  <c r="F40" i="57"/>
  <c r="B40" i="57"/>
  <c r="X39" i="57"/>
  <c r="Z39" i="57" s="1"/>
  <c r="V39" i="57"/>
  <c r="R39" i="57"/>
  <c r="N39" i="57"/>
  <c r="L39" i="57"/>
  <c r="J39" i="57"/>
  <c r="B39" i="57"/>
  <c r="V38" i="57"/>
  <c r="T38" i="57"/>
  <c r="Z38" i="57" s="1"/>
  <c r="R38" i="57"/>
  <c r="P38" i="57"/>
  <c r="X38" i="57" s="1"/>
  <c r="H38" i="57"/>
  <c r="D38" i="57"/>
  <c r="L38" i="57" s="1"/>
  <c r="B38" i="57"/>
  <c r="Z37" i="57"/>
  <c r="X37" i="57"/>
  <c r="R37" i="57"/>
  <c r="N37" i="57"/>
  <c r="L37" i="57"/>
  <c r="B37" i="57"/>
  <c r="V36" i="57"/>
  <c r="T36" i="57"/>
  <c r="Z36" i="57" s="1"/>
  <c r="R36" i="57"/>
  <c r="P36" i="57"/>
  <c r="X36" i="57" s="1"/>
  <c r="L36" i="57"/>
  <c r="N36" i="57" s="1"/>
  <c r="H36" i="57"/>
  <c r="D36" i="57"/>
  <c r="B36" i="57"/>
  <c r="X35" i="57"/>
  <c r="Z35" i="57" s="1"/>
  <c r="V35" i="57"/>
  <c r="L35" i="57"/>
  <c r="N35" i="57" s="1"/>
  <c r="J35" i="57"/>
  <c r="B35" i="57"/>
  <c r="X34" i="57"/>
  <c r="Z34" i="57" s="1"/>
  <c r="T34" i="57"/>
  <c r="R34" i="57"/>
  <c r="P34" i="57"/>
  <c r="H34" i="57"/>
  <c r="D34" i="57"/>
  <c r="B34" i="57"/>
  <c r="Z33" i="57"/>
  <c r="X33" i="57"/>
  <c r="V33" i="57"/>
  <c r="R33" i="57"/>
  <c r="N33" i="57"/>
  <c r="L33" i="57"/>
  <c r="B33" i="57"/>
  <c r="V32" i="57"/>
  <c r="T32" i="57"/>
  <c r="P32" i="57"/>
  <c r="H32" i="57"/>
  <c r="D32" i="57"/>
  <c r="L32" i="57" s="1"/>
  <c r="B32" i="57"/>
  <c r="X31" i="57"/>
  <c r="Z31" i="57" s="1"/>
  <c r="V31" i="57"/>
  <c r="R31" i="57"/>
  <c r="N31" i="57"/>
  <c r="L31" i="57"/>
  <c r="J31" i="57"/>
  <c r="B31" i="57"/>
  <c r="V30" i="57"/>
  <c r="T30" i="57"/>
  <c r="Z30" i="57" s="1"/>
  <c r="R30" i="57"/>
  <c r="P30" i="57"/>
  <c r="X30" i="57" s="1"/>
  <c r="H30" i="57"/>
  <c r="D30" i="57"/>
  <c r="L30" i="57" s="1"/>
  <c r="B30" i="57"/>
  <c r="Z29" i="57"/>
  <c r="X29" i="57"/>
  <c r="R29" i="57"/>
  <c r="N29" i="57"/>
  <c r="L29" i="57"/>
  <c r="B29" i="57"/>
  <c r="V28" i="57"/>
  <c r="T28" i="57"/>
  <c r="R28" i="57"/>
  <c r="P28" i="57"/>
  <c r="X28" i="57" s="1"/>
  <c r="L28" i="57"/>
  <c r="N28" i="57" s="1"/>
  <c r="H28" i="57"/>
  <c r="D28" i="57"/>
  <c r="B28" i="57"/>
  <c r="Z27" i="57"/>
  <c r="X27" i="57"/>
  <c r="V27" i="57"/>
  <c r="L27" i="57"/>
  <c r="N27" i="57" s="1"/>
  <c r="J27" i="57"/>
  <c r="B27" i="57"/>
  <c r="X26" i="57"/>
  <c r="Z26" i="57" s="1"/>
  <c r="L26" i="57"/>
  <c r="N26" i="57" s="1"/>
  <c r="B26" i="57"/>
  <c r="Z25" i="57"/>
  <c r="X25" i="57"/>
  <c r="R25" i="57"/>
  <c r="N25" i="57"/>
  <c r="L25" i="57"/>
  <c r="B25" i="57"/>
  <c r="X24" i="57"/>
  <c r="Z24" i="57" s="1"/>
  <c r="V24" i="57"/>
  <c r="R24" i="57"/>
  <c r="N24" i="57"/>
  <c r="L24" i="57"/>
  <c r="F24" i="57"/>
  <c r="B24" i="57"/>
  <c r="X23" i="57"/>
  <c r="Z23" i="57" s="1"/>
  <c r="V23" i="57"/>
  <c r="R23" i="57"/>
  <c r="N23" i="57"/>
  <c r="L23" i="57"/>
  <c r="J23" i="57"/>
  <c r="B23" i="57"/>
  <c r="X22" i="57"/>
  <c r="Z22" i="57" s="1"/>
  <c r="V22" i="57"/>
  <c r="R22" i="57"/>
  <c r="L22" i="57"/>
  <c r="N22" i="57" s="1"/>
  <c r="B22" i="57"/>
  <c r="Z21" i="57"/>
  <c r="X21" i="57"/>
  <c r="V21" i="57"/>
  <c r="R21" i="57"/>
  <c r="N21" i="57"/>
  <c r="L21" i="57"/>
  <c r="B21" i="57"/>
  <c r="Z20" i="57"/>
  <c r="X20" i="57"/>
  <c r="V20" i="57"/>
  <c r="R20" i="57"/>
  <c r="L20" i="57"/>
  <c r="N20" i="57" s="1"/>
  <c r="F20" i="57"/>
  <c r="B20" i="57"/>
  <c r="Z19" i="57"/>
  <c r="X19" i="57"/>
  <c r="V19" i="57"/>
  <c r="T19" i="57"/>
  <c r="P19" i="57"/>
  <c r="N19" i="57"/>
  <c r="L19" i="57"/>
  <c r="H19" i="57"/>
  <c r="F19" i="57"/>
  <c r="D19" i="57"/>
  <c r="B19" i="57"/>
  <c r="V18" i="57"/>
  <c r="T18" i="57"/>
  <c r="Z18" i="57" s="1"/>
  <c r="R18" i="57"/>
  <c r="P18" i="57"/>
  <c r="X18" i="57" s="1"/>
  <c r="H18" i="57"/>
  <c r="D18" i="57"/>
  <c r="L18" i="57" s="1"/>
  <c r="R16" i="57"/>
  <c r="H16" i="57"/>
  <c r="V14" i="57"/>
  <c r="T14" i="57"/>
  <c r="Z14" i="57" s="1"/>
  <c r="R14" i="57"/>
  <c r="P14" i="57"/>
  <c r="H14" i="57"/>
  <c r="N14" i="57" s="1"/>
  <c r="D14" i="57"/>
  <c r="L14" i="57" s="1"/>
  <c r="Z12" i="57"/>
  <c r="X12" i="57"/>
  <c r="T12" i="57"/>
  <c r="V46" i="57" s="1"/>
  <c r="P12" i="57"/>
  <c r="R47" i="57" s="1"/>
  <c r="L12" i="57"/>
  <c r="H12" i="57"/>
  <c r="J48" i="57" s="1"/>
  <c r="D12" i="57"/>
  <c r="F46" i="57" s="1"/>
  <c r="D6" i="57"/>
  <c r="D4" i="57"/>
  <c r="T57" i="56"/>
  <c r="Z55" i="56"/>
  <c r="X55" i="56"/>
  <c r="R55" i="56"/>
  <c r="N55" i="56"/>
  <c r="L55" i="56"/>
  <c r="F55" i="56"/>
  <c r="T51" i="56"/>
  <c r="P51" i="56"/>
  <c r="H51" i="56"/>
  <c r="N51" i="56" s="1"/>
  <c r="D51" i="56"/>
  <c r="L51" i="56" s="1"/>
  <c r="Z49" i="56"/>
  <c r="X49" i="56"/>
  <c r="R49" i="56"/>
  <c r="L49" i="56"/>
  <c r="N49" i="56" s="1"/>
  <c r="F49" i="56"/>
  <c r="B49" i="56"/>
  <c r="V48" i="56"/>
  <c r="T48" i="56"/>
  <c r="Z48" i="56" s="1"/>
  <c r="P48" i="56"/>
  <c r="X48" i="56" s="1"/>
  <c r="H48" i="56"/>
  <c r="F48" i="56"/>
  <c r="D48" i="56"/>
  <c r="L48" i="56" s="1"/>
  <c r="N48" i="56" s="1"/>
  <c r="B48" i="56"/>
  <c r="X47" i="56"/>
  <c r="Z47" i="56" s="1"/>
  <c r="L47" i="56"/>
  <c r="N47" i="56" s="1"/>
  <c r="B47" i="56"/>
  <c r="Z46" i="56"/>
  <c r="X46" i="56"/>
  <c r="N46" i="56"/>
  <c r="L46" i="56"/>
  <c r="B46" i="56"/>
  <c r="T45" i="56"/>
  <c r="P45" i="56"/>
  <c r="X45" i="56" s="1"/>
  <c r="L45" i="56"/>
  <c r="N45" i="56" s="1"/>
  <c r="H45" i="56"/>
  <c r="D45" i="56"/>
  <c r="B45" i="56"/>
  <c r="Z44" i="56"/>
  <c r="X44" i="56"/>
  <c r="V44" i="56"/>
  <c r="L44" i="56"/>
  <c r="N44" i="56" s="1"/>
  <c r="J44" i="56"/>
  <c r="B44" i="56"/>
  <c r="X43" i="56"/>
  <c r="Z43" i="56" s="1"/>
  <c r="T43" i="56"/>
  <c r="P43" i="56"/>
  <c r="H43" i="56"/>
  <c r="D43" i="56"/>
  <c r="B43" i="56"/>
  <c r="Z42" i="56"/>
  <c r="X42" i="56"/>
  <c r="V42" i="56"/>
  <c r="N42" i="56"/>
  <c r="L42" i="56"/>
  <c r="B42" i="56"/>
  <c r="V41" i="56"/>
  <c r="T41" i="56"/>
  <c r="P41" i="56"/>
  <c r="H41" i="56"/>
  <c r="D41" i="56"/>
  <c r="L41" i="56" s="1"/>
  <c r="B41" i="56"/>
  <c r="X40" i="56"/>
  <c r="Z40" i="56" s="1"/>
  <c r="V40" i="56"/>
  <c r="N40" i="56"/>
  <c r="L40" i="56"/>
  <c r="J40" i="56"/>
  <c r="B40" i="56"/>
  <c r="V39" i="56"/>
  <c r="T39" i="56"/>
  <c r="Z39" i="56" s="1"/>
  <c r="P39" i="56"/>
  <c r="X39" i="56" s="1"/>
  <c r="H39" i="56"/>
  <c r="D39" i="56"/>
  <c r="L39" i="56" s="1"/>
  <c r="B39" i="56"/>
  <c r="Z38" i="56"/>
  <c r="X38" i="56"/>
  <c r="N38" i="56"/>
  <c r="L38" i="56"/>
  <c r="B38" i="56"/>
  <c r="T37" i="56"/>
  <c r="Z37" i="56" s="1"/>
  <c r="P37" i="56"/>
  <c r="X37" i="56" s="1"/>
  <c r="N37" i="56"/>
  <c r="L37" i="56"/>
  <c r="H37" i="56"/>
  <c r="D37" i="56"/>
  <c r="B37" i="56"/>
  <c r="Z36" i="56"/>
  <c r="X36" i="56"/>
  <c r="V36" i="56"/>
  <c r="L36" i="56"/>
  <c r="N36" i="56" s="1"/>
  <c r="J36" i="56"/>
  <c r="B36" i="56"/>
  <c r="X35" i="56"/>
  <c r="Z35" i="56" s="1"/>
  <c r="T35" i="56"/>
  <c r="P35" i="56"/>
  <c r="H35" i="56"/>
  <c r="D35" i="56"/>
  <c r="B35" i="56"/>
  <c r="Z34" i="56"/>
  <c r="X34" i="56"/>
  <c r="V34" i="56"/>
  <c r="N34" i="56"/>
  <c r="L34" i="56"/>
  <c r="B34" i="56"/>
  <c r="V33" i="56"/>
  <c r="T33" i="56"/>
  <c r="P33" i="56"/>
  <c r="H33" i="56"/>
  <c r="D33" i="56"/>
  <c r="L33" i="56" s="1"/>
  <c r="B33" i="56"/>
  <c r="X32" i="56"/>
  <c r="Z32" i="56" s="1"/>
  <c r="V32" i="56"/>
  <c r="N32" i="56"/>
  <c r="L32" i="56"/>
  <c r="J32" i="56"/>
  <c r="B32" i="56"/>
  <c r="V31" i="56"/>
  <c r="T31" i="56"/>
  <c r="Z31" i="56" s="1"/>
  <c r="P31" i="56"/>
  <c r="X31" i="56" s="1"/>
  <c r="H31" i="56"/>
  <c r="D31" i="56"/>
  <c r="L31" i="56" s="1"/>
  <c r="B31" i="56"/>
  <c r="Z30" i="56"/>
  <c r="X30" i="56"/>
  <c r="N30" i="56"/>
  <c r="L30" i="56"/>
  <c r="B30" i="56"/>
  <c r="X29" i="56"/>
  <c r="Z29" i="56" s="1"/>
  <c r="V29" i="56"/>
  <c r="R29" i="56"/>
  <c r="L29" i="56"/>
  <c r="N29" i="56" s="1"/>
  <c r="F29" i="56"/>
  <c r="B29" i="56"/>
  <c r="V28" i="56"/>
  <c r="T28" i="56"/>
  <c r="R28" i="56"/>
  <c r="P28" i="56"/>
  <c r="X28" i="56" s="1"/>
  <c r="N28" i="56"/>
  <c r="H28" i="56"/>
  <c r="F28" i="56"/>
  <c r="D28" i="56"/>
  <c r="L28" i="56" s="1"/>
  <c r="B28" i="56"/>
  <c r="X27" i="56"/>
  <c r="Z27" i="56" s="1"/>
  <c r="L27" i="56"/>
  <c r="N27" i="56" s="1"/>
  <c r="B27" i="56"/>
  <c r="Z26" i="56"/>
  <c r="X26" i="56"/>
  <c r="N26" i="56"/>
  <c r="L26" i="56"/>
  <c r="B26" i="56"/>
  <c r="X25" i="56"/>
  <c r="Z25" i="56" s="1"/>
  <c r="V25" i="56"/>
  <c r="R25" i="56"/>
  <c r="L25" i="56"/>
  <c r="N25" i="56" s="1"/>
  <c r="F25" i="56"/>
  <c r="B25" i="56"/>
  <c r="X24" i="56"/>
  <c r="Z24" i="56" s="1"/>
  <c r="V24" i="56"/>
  <c r="N24" i="56"/>
  <c r="L24" i="56"/>
  <c r="J24" i="56"/>
  <c r="B24" i="56"/>
  <c r="X23" i="56"/>
  <c r="Z23" i="56" s="1"/>
  <c r="V23" i="56"/>
  <c r="R23" i="56"/>
  <c r="L23" i="56"/>
  <c r="N23" i="56" s="1"/>
  <c r="B23" i="56"/>
  <c r="Z22" i="56"/>
  <c r="X22" i="56"/>
  <c r="V22" i="56"/>
  <c r="N22" i="56"/>
  <c r="L22" i="56"/>
  <c r="B22" i="56"/>
  <c r="X21" i="56"/>
  <c r="Z21" i="56" s="1"/>
  <c r="V21" i="56"/>
  <c r="R21" i="56"/>
  <c r="L21" i="56"/>
  <c r="N21" i="56" s="1"/>
  <c r="F21" i="56"/>
  <c r="B21" i="56"/>
  <c r="Z20" i="56"/>
  <c r="X20" i="56"/>
  <c r="V20" i="56"/>
  <c r="L20" i="56"/>
  <c r="N20" i="56" s="1"/>
  <c r="J20" i="56"/>
  <c r="F20" i="56"/>
  <c r="B20" i="56"/>
  <c r="T19" i="56"/>
  <c r="P19" i="56"/>
  <c r="X19" i="56" s="1"/>
  <c r="Z19" i="56" s="1"/>
  <c r="N19" i="56"/>
  <c r="H19" i="56"/>
  <c r="L19" i="56" s="1"/>
  <c r="D19" i="56"/>
  <c r="B19" i="56"/>
  <c r="Z18" i="56"/>
  <c r="X18" i="56"/>
  <c r="V18" i="56"/>
  <c r="T18" i="56"/>
  <c r="R18" i="56"/>
  <c r="P18" i="56"/>
  <c r="J18" i="56"/>
  <c r="H18" i="56"/>
  <c r="F18" i="56"/>
  <c r="D18" i="56"/>
  <c r="R16" i="56"/>
  <c r="P16" i="56"/>
  <c r="J16" i="56"/>
  <c r="Z14" i="56"/>
  <c r="X14" i="56"/>
  <c r="V14" i="56"/>
  <c r="T14" i="56"/>
  <c r="T16" i="56" s="1"/>
  <c r="T53" i="56" s="1"/>
  <c r="R14" i="56"/>
  <c r="P14" i="56"/>
  <c r="J14" i="56"/>
  <c r="H14" i="56"/>
  <c r="N14" i="56" s="1"/>
  <c r="F14" i="56"/>
  <c r="D14" i="56"/>
  <c r="L14" i="56" s="1"/>
  <c r="Z12" i="56"/>
  <c r="T12" i="56"/>
  <c r="V47" i="56" s="1"/>
  <c r="P12" i="56"/>
  <c r="R57" i="56" s="1"/>
  <c r="N12" i="56"/>
  <c r="L12" i="56"/>
  <c r="H12" i="56"/>
  <c r="J60" i="56" s="1"/>
  <c r="D12" i="56"/>
  <c r="F43" i="56" s="1"/>
  <c r="D6" i="56"/>
  <c r="D4" i="56"/>
  <c r="V35" i="55"/>
  <c r="R35" i="55"/>
  <c r="F35" i="55"/>
  <c r="V32" i="55"/>
  <c r="F32" i="55"/>
  <c r="Z30" i="55"/>
  <c r="X30" i="55"/>
  <c r="V30" i="55"/>
  <c r="R30" i="55"/>
  <c r="N30" i="55"/>
  <c r="L30" i="55"/>
  <c r="J30" i="55"/>
  <c r="V28" i="55"/>
  <c r="R28" i="55"/>
  <c r="F28" i="55"/>
  <c r="Z26" i="55"/>
  <c r="X26" i="55"/>
  <c r="V26" i="55"/>
  <c r="T26" i="55"/>
  <c r="P26" i="55"/>
  <c r="N26" i="55"/>
  <c r="L26" i="55"/>
  <c r="H26" i="55"/>
  <c r="F26" i="55"/>
  <c r="D26" i="55"/>
  <c r="X24" i="55"/>
  <c r="Z24" i="55" s="1"/>
  <c r="V24" i="55"/>
  <c r="R24" i="55"/>
  <c r="N24" i="55"/>
  <c r="L24" i="55"/>
  <c r="J24" i="55"/>
  <c r="B24" i="55"/>
  <c r="V23" i="55"/>
  <c r="T23" i="55"/>
  <c r="R23" i="55"/>
  <c r="P23" i="55"/>
  <c r="X23" i="55" s="1"/>
  <c r="H23" i="55"/>
  <c r="F23" i="55"/>
  <c r="D23" i="55"/>
  <c r="L23" i="55" s="1"/>
  <c r="B23" i="55"/>
  <c r="Z22" i="55"/>
  <c r="X22" i="55"/>
  <c r="N22" i="55"/>
  <c r="L22" i="55"/>
  <c r="B22" i="55"/>
  <c r="V21" i="55"/>
  <c r="T21" i="55"/>
  <c r="R21" i="55"/>
  <c r="P21" i="55"/>
  <c r="H21" i="55"/>
  <c r="D21" i="55"/>
  <c r="L21" i="55" s="1"/>
  <c r="N21" i="55" s="1"/>
  <c r="B21" i="55"/>
  <c r="Z20" i="55"/>
  <c r="X20" i="55"/>
  <c r="V20" i="55"/>
  <c r="L20" i="55"/>
  <c r="N20" i="55" s="1"/>
  <c r="J20" i="55"/>
  <c r="F20" i="55"/>
  <c r="B20" i="55"/>
  <c r="T19" i="55"/>
  <c r="P19" i="55"/>
  <c r="X19" i="55" s="1"/>
  <c r="Z19" i="55" s="1"/>
  <c r="H19" i="55"/>
  <c r="L19" i="55" s="1"/>
  <c r="D19" i="55"/>
  <c r="B19" i="55"/>
  <c r="X18" i="55"/>
  <c r="Z18" i="55" s="1"/>
  <c r="V18" i="55"/>
  <c r="T18" i="55"/>
  <c r="R18" i="55"/>
  <c r="P18" i="55"/>
  <c r="J18" i="55"/>
  <c r="H18" i="55"/>
  <c r="F18" i="55"/>
  <c r="D18" i="55"/>
  <c r="Z16" i="55"/>
  <c r="R16" i="55"/>
  <c r="P16" i="55"/>
  <c r="J16" i="55"/>
  <c r="Z14" i="55"/>
  <c r="X14" i="55"/>
  <c r="V14" i="55"/>
  <c r="T14" i="55"/>
  <c r="T16" i="55" s="1"/>
  <c r="T28" i="55" s="1"/>
  <c r="R14" i="55"/>
  <c r="P14" i="55"/>
  <c r="J14" i="55"/>
  <c r="H14" i="55"/>
  <c r="N14" i="55" s="1"/>
  <c r="F14" i="55"/>
  <c r="D14" i="55"/>
  <c r="L14" i="55" s="1"/>
  <c r="Z12" i="55"/>
  <c r="T12" i="55"/>
  <c r="V19" i="55" s="1"/>
  <c r="P12" i="55"/>
  <c r="R20" i="55" s="1"/>
  <c r="N12" i="55"/>
  <c r="L12" i="55"/>
  <c r="H12" i="55"/>
  <c r="J21" i="55" s="1"/>
  <c r="D12" i="55"/>
  <c r="F30" i="55" s="1"/>
  <c r="D6" i="55"/>
  <c r="D4" i="55"/>
  <c r="R31" i="54"/>
  <c r="Z29" i="54"/>
  <c r="X29" i="54"/>
  <c r="T29" i="54"/>
  <c r="P29" i="54"/>
  <c r="L29" i="54"/>
  <c r="N29" i="54" s="1"/>
  <c r="H29" i="54"/>
  <c r="D29" i="54"/>
  <c r="T28" i="54"/>
  <c r="R28" i="54"/>
  <c r="P28" i="54"/>
  <c r="H28" i="54"/>
  <c r="D28" i="54"/>
  <c r="L28" i="54" s="1"/>
  <c r="N28" i="54" s="1"/>
  <c r="Z24" i="54"/>
  <c r="X24" i="54"/>
  <c r="V24" i="54"/>
  <c r="R24" i="54"/>
  <c r="N24" i="54"/>
  <c r="L24" i="54"/>
  <c r="J24" i="54"/>
  <c r="R22" i="54"/>
  <c r="Z20" i="54"/>
  <c r="X20" i="54"/>
  <c r="T20" i="54"/>
  <c r="P20" i="54"/>
  <c r="N20" i="54"/>
  <c r="L20" i="54"/>
  <c r="H20" i="54"/>
  <c r="D20" i="54"/>
  <c r="T18" i="54"/>
  <c r="Z18" i="54" s="1"/>
  <c r="R18" i="54"/>
  <c r="P18" i="54"/>
  <c r="X18" i="54" s="1"/>
  <c r="N18" i="54"/>
  <c r="H18" i="54"/>
  <c r="D18" i="54"/>
  <c r="L18" i="54" s="1"/>
  <c r="T14" i="54"/>
  <c r="Z14" i="54" s="1"/>
  <c r="R14" i="54"/>
  <c r="P14" i="54"/>
  <c r="P16" i="54" s="1"/>
  <c r="N14" i="54"/>
  <c r="H14" i="54"/>
  <c r="D14" i="54"/>
  <c r="L14" i="54" s="1"/>
  <c r="T12" i="54"/>
  <c r="V31" i="54" s="1"/>
  <c r="P12" i="54"/>
  <c r="R29" i="54" s="1"/>
  <c r="H12" i="54"/>
  <c r="D12" i="54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9" i="53" s="1"/>
  <c r="P12" i="53"/>
  <c r="R20" i="53" s="1"/>
  <c r="H12" i="53"/>
  <c r="J24" i="53" s="1"/>
  <c r="D12" i="53"/>
  <c r="F36" i="53" s="1"/>
  <c r="D5" i="53"/>
  <c r="D4" i="53"/>
  <c r="B39" i="52"/>
  <c r="B38" i="52"/>
  <c r="T34" i="52"/>
  <c r="Z34" i="52" s="1"/>
  <c r="P34" i="52"/>
  <c r="H34" i="52"/>
  <c r="D34" i="52"/>
  <c r="T33" i="52"/>
  <c r="Z33" i="52" s="1"/>
  <c r="P33" i="52"/>
  <c r="H33" i="52"/>
  <c r="N33" i="52" s="1"/>
  <c r="D33" i="52"/>
  <c r="T29" i="52"/>
  <c r="P29" i="52"/>
  <c r="H29" i="52"/>
  <c r="N29" i="52" s="1"/>
  <c r="D29" i="52"/>
  <c r="T25" i="52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1" i="52" s="1"/>
  <c r="P12" i="52"/>
  <c r="R18" i="52" s="1"/>
  <c r="H12" i="52"/>
  <c r="J20" i="52" s="1"/>
  <c r="D12" i="52"/>
  <c r="F33" i="52" s="1"/>
  <c r="D5" i="52"/>
  <c r="D4" i="52"/>
  <c r="Z88" i="51"/>
  <c r="X88" i="51"/>
  <c r="N88" i="51"/>
  <c r="L88" i="51"/>
  <c r="T84" i="51"/>
  <c r="P84" i="51"/>
  <c r="X84" i="51" s="1"/>
  <c r="Z84" i="51" s="1"/>
  <c r="L84" i="51"/>
  <c r="N84" i="51" s="1"/>
  <c r="H84" i="51"/>
  <c r="D84" i="51"/>
  <c r="B84" i="51"/>
  <c r="T83" i="51"/>
  <c r="P83" i="51"/>
  <c r="N83" i="51"/>
  <c r="H83" i="51"/>
  <c r="D83" i="51"/>
  <c r="L83" i="51" s="1"/>
  <c r="B83" i="51"/>
  <c r="T82" i="51"/>
  <c r="Z82" i="51" s="1"/>
  <c r="P82" i="51"/>
  <c r="X82" i="51" s="1"/>
  <c r="H82" i="51"/>
  <c r="D82" i="51"/>
  <c r="L82" i="51" s="1"/>
  <c r="N82" i="51" s="1"/>
  <c r="B82" i="51"/>
  <c r="P81" i="51"/>
  <c r="H81" i="51"/>
  <c r="X79" i="51"/>
  <c r="Z79" i="51" s="1"/>
  <c r="L79" i="51"/>
  <c r="N79" i="51" s="1"/>
  <c r="B79" i="51"/>
  <c r="T78" i="51"/>
  <c r="X78" i="51" s="1"/>
  <c r="Z78" i="51" s="1"/>
  <c r="P78" i="51"/>
  <c r="H78" i="51"/>
  <c r="N78" i="51" s="1"/>
  <c r="D78" i="51"/>
  <c r="L78" i="51" s="1"/>
  <c r="B78" i="51"/>
  <c r="Z77" i="51"/>
  <c r="X77" i="51"/>
  <c r="N77" i="51"/>
  <c r="L77" i="51"/>
  <c r="B77" i="51"/>
  <c r="Z76" i="51"/>
  <c r="X76" i="51"/>
  <c r="N76" i="51"/>
  <c r="L76" i="51"/>
  <c r="B76" i="51"/>
  <c r="X75" i="51"/>
  <c r="Z75" i="51" s="1"/>
  <c r="L75" i="51"/>
  <c r="N75" i="51" s="1"/>
  <c r="B75" i="51"/>
  <c r="T74" i="51"/>
  <c r="X74" i="51" s="1"/>
  <c r="Z74" i="51" s="1"/>
  <c r="P74" i="51"/>
  <c r="H74" i="51"/>
  <c r="D74" i="51"/>
  <c r="L74" i="51" s="1"/>
  <c r="B74" i="51"/>
  <c r="X73" i="51"/>
  <c r="Z73" i="51" s="1"/>
  <c r="N73" i="51"/>
  <c r="L73" i="51"/>
  <c r="B73" i="51"/>
  <c r="T72" i="51"/>
  <c r="Z72" i="51" s="1"/>
  <c r="P72" i="51"/>
  <c r="X72" i="51" s="1"/>
  <c r="N72" i="51"/>
  <c r="H72" i="51"/>
  <c r="D72" i="51"/>
  <c r="L72" i="51" s="1"/>
  <c r="B72" i="51"/>
  <c r="X71" i="51"/>
  <c r="Z71" i="51" s="1"/>
  <c r="L71" i="51"/>
  <c r="N71" i="51" s="1"/>
  <c r="B71" i="51"/>
  <c r="Z70" i="51"/>
  <c r="T70" i="51"/>
  <c r="P70" i="51"/>
  <c r="X70" i="51" s="1"/>
  <c r="L70" i="51"/>
  <c r="N70" i="51" s="1"/>
  <c r="H70" i="51"/>
  <c r="D70" i="51"/>
  <c r="B70" i="51"/>
  <c r="Z69" i="51"/>
  <c r="X69" i="51"/>
  <c r="N69" i="51"/>
  <c r="L69" i="51"/>
  <c r="B69" i="51"/>
  <c r="X68" i="51"/>
  <c r="Z68" i="51" s="1"/>
  <c r="L68" i="51"/>
  <c r="N68" i="51" s="1"/>
  <c r="B68" i="51"/>
  <c r="X67" i="51"/>
  <c r="Z67" i="51" s="1"/>
  <c r="T67" i="51"/>
  <c r="P67" i="51"/>
  <c r="H67" i="51"/>
  <c r="D67" i="51"/>
  <c r="B67" i="51"/>
  <c r="Z66" i="51"/>
  <c r="X66" i="51"/>
  <c r="N66" i="51"/>
  <c r="L66" i="51"/>
  <c r="B66" i="51"/>
  <c r="T65" i="51"/>
  <c r="P65" i="51"/>
  <c r="N65" i="51"/>
  <c r="H65" i="51"/>
  <c r="D65" i="51"/>
  <c r="L65" i="51" s="1"/>
  <c r="B65" i="51"/>
  <c r="X64" i="51"/>
  <c r="Z64" i="51" s="1"/>
  <c r="L64" i="51"/>
  <c r="N64" i="51" s="1"/>
  <c r="B64" i="51"/>
  <c r="T63" i="51"/>
  <c r="P63" i="51"/>
  <c r="X63" i="51" s="1"/>
  <c r="Z63" i="51" s="1"/>
  <c r="H63" i="51"/>
  <c r="D63" i="51"/>
  <c r="L63" i="51" s="1"/>
  <c r="B63" i="51"/>
  <c r="Z62" i="51"/>
  <c r="X62" i="51"/>
  <c r="N62" i="51"/>
  <c r="L62" i="51"/>
  <c r="B62" i="51"/>
  <c r="T61" i="51"/>
  <c r="P61" i="51"/>
  <c r="X61" i="51" s="1"/>
  <c r="L61" i="51"/>
  <c r="N61" i="51" s="1"/>
  <c r="H61" i="51"/>
  <c r="D61" i="51"/>
  <c r="B61" i="51"/>
  <c r="X60" i="51"/>
  <c r="Z60" i="51" s="1"/>
  <c r="L60" i="51"/>
  <c r="N60" i="51" s="1"/>
  <c r="B60" i="51"/>
  <c r="X59" i="51"/>
  <c r="Z59" i="51" s="1"/>
  <c r="L59" i="51"/>
  <c r="N59" i="51" s="1"/>
  <c r="B59" i="51"/>
  <c r="Z58" i="51"/>
  <c r="X58" i="51"/>
  <c r="N58" i="51"/>
  <c r="L58" i="51"/>
  <c r="B58" i="51"/>
  <c r="T57" i="51"/>
  <c r="Z57" i="51" s="1"/>
  <c r="P57" i="51"/>
  <c r="X57" i="51" s="1"/>
  <c r="L57" i="51"/>
  <c r="N57" i="51" s="1"/>
  <c r="H57" i="51"/>
  <c r="D57" i="51"/>
  <c r="B57" i="51"/>
  <c r="X56" i="51"/>
  <c r="Z56" i="51" s="1"/>
  <c r="L56" i="51"/>
  <c r="N56" i="51" s="1"/>
  <c r="B56" i="51"/>
  <c r="X55" i="51"/>
  <c r="Z55" i="51" s="1"/>
  <c r="L55" i="51"/>
  <c r="N55" i="51" s="1"/>
  <c r="B55" i="51"/>
  <c r="Z54" i="51"/>
  <c r="X54" i="51"/>
  <c r="N54" i="51"/>
  <c r="L54" i="51"/>
  <c r="B54" i="51"/>
  <c r="Z53" i="51"/>
  <c r="X53" i="51"/>
  <c r="L53" i="51"/>
  <c r="N53" i="51" s="1"/>
  <c r="B53" i="51"/>
  <c r="X52" i="51"/>
  <c r="Z52" i="51" s="1"/>
  <c r="L52" i="51"/>
  <c r="N52" i="51" s="1"/>
  <c r="B52" i="51"/>
  <c r="X51" i="51"/>
  <c r="Z51" i="51" s="1"/>
  <c r="L51" i="51"/>
  <c r="N51" i="51" s="1"/>
  <c r="B51" i="51"/>
  <c r="Z50" i="51"/>
  <c r="X50" i="51"/>
  <c r="N50" i="51"/>
  <c r="L50" i="51"/>
  <c r="B50" i="51"/>
  <c r="X49" i="51"/>
  <c r="Z49" i="51" s="1"/>
  <c r="L49" i="51"/>
  <c r="N49" i="51" s="1"/>
  <c r="B49" i="51"/>
  <c r="X48" i="51"/>
  <c r="Z48" i="51" s="1"/>
  <c r="L48" i="51"/>
  <c r="N48" i="51" s="1"/>
  <c r="B48" i="51"/>
  <c r="X47" i="51"/>
  <c r="Z47" i="51" s="1"/>
  <c r="T47" i="51"/>
  <c r="P47" i="51"/>
  <c r="H47" i="51"/>
  <c r="D47" i="51"/>
  <c r="B47" i="51"/>
  <c r="T46" i="51"/>
  <c r="P46" i="51"/>
  <c r="X46" i="51" s="1"/>
  <c r="Z46" i="51" s="1"/>
  <c r="H46" i="51"/>
  <c r="D46" i="51"/>
  <c r="L46" i="51" s="1"/>
  <c r="Z42" i="51"/>
  <c r="X42" i="51"/>
  <c r="N42" i="51"/>
  <c r="L42" i="51"/>
  <c r="B42" i="51"/>
  <c r="Z41" i="51"/>
  <c r="X41" i="51"/>
  <c r="N41" i="51"/>
  <c r="L41" i="51"/>
  <c r="B41" i="51"/>
  <c r="X40" i="51"/>
  <c r="Z40" i="51" s="1"/>
  <c r="L40" i="51"/>
  <c r="N40" i="51" s="1"/>
  <c r="B40" i="51"/>
  <c r="X39" i="51"/>
  <c r="Z39" i="51" s="1"/>
  <c r="L39" i="51"/>
  <c r="N39" i="51" s="1"/>
  <c r="B39" i="51"/>
  <c r="Z38" i="51"/>
  <c r="X38" i="51"/>
  <c r="N38" i="51"/>
  <c r="L38" i="51"/>
  <c r="B38" i="51"/>
  <c r="Z37" i="51"/>
  <c r="X37" i="51"/>
  <c r="N37" i="51"/>
  <c r="L37" i="51"/>
  <c r="B37" i="51"/>
  <c r="X36" i="51"/>
  <c r="Z36" i="51" s="1"/>
  <c r="L36" i="51"/>
  <c r="N36" i="51" s="1"/>
  <c r="B36" i="51"/>
  <c r="X35" i="51"/>
  <c r="Z35" i="51" s="1"/>
  <c r="L35" i="51"/>
  <c r="N35" i="51" s="1"/>
  <c r="B35" i="51"/>
  <c r="Z34" i="51"/>
  <c r="X34" i="51"/>
  <c r="N34" i="51"/>
  <c r="L34" i="51"/>
  <c r="B34" i="51"/>
  <c r="Z33" i="51"/>
  <c r="X33" i="51"/>
  <c r="N33" i="51"/>
  <c r="L33" i="51"/>
  <c r="B33" i="51"/>
  <c r="X32" i="51"/>
  <c r="T32" i="51"/>
  <c r="Z32" i="51" s="1"/>
  <c r="P32" i="51"/>
  <c r="H32" i="51"/>
  <c r="L32" i="51" s="1"/>
  <c r="N32" i="51" s="1"/>
  <c r="D32" i="51"/>
  <c r="T30" i="51"/>
  <c r="P30" i="51"/>
  <c r="X30" i="51" s="1"/>
  <c r="H30" i="51"/>
  <c r="D30" i="51"/>
  <c r="B30" i="51"/>
  <c r="X29" i="51"/>
  <c r="T29" i="51"/>
  <c r="Z29" i="51" s="1"/>
  <c r="P29" i="51"/>
  <c r="N29" i="51"/>
  <c r="L29" i="51"/>
  <c r="H29" i="51"/>
  <c r="D29" i="51"/>
  <c r="B29" i="51"/>
  <c r="T28" i="51"/>
  <c r="P28" i="51"/>
  <c r="X28" i="51" s="1"/>
  <c r="Z28" i="51" s="1"/>
  <c r="N28" i="51"/>
  <c r="H28" i="51"/>
  <c r="D28" i="51"/>
  <c r="L28" i="51" s="1"/>
  <c r="B28" i="51"/>
  <c r="T27" i="51"/>
  <c r="P27" i="51"/>
  <c r="X27" i="51" s="1"/>
  <c r="H27" i="51"/>
  <c r="N27" i="51" s="1"/>
  <c r="D27" i="51"/>
  <c r="L27" i="51" s="1"/>
  <c r="B27" i="51"/>
  <c r="T26" i="51"/>
  <c r="P26" i="51"/>
  <c r="H26" i="51"/>
  <c r="N26" i="51" s="1"/>
  <c r="D26" i="51"/>
  <c r="L26" i="51" s="1"/>
  <c r="B26" i="51"/>
  <c r="Z25" i="51"/>
  <c r="X25" i="51"/>
  <c r="T25" i="51"/>
  <c r="P25" i="51"/>
  <c r="L25" i="51"/>
  <c r="H25" i="51"/>
  <c r="N25" i="51" s="1"/>
  <c r="D25" i="51"/>
  <c r="B25" i="51"/>
  <c r="Z24" i="51"/>
  <c r="T24" i="51"/>
  <c r="P24" i="51"/>
  <c r="X24" i="51" s="1"/>
  <c r="H24" i="51"/>
  <c r="D24" i="51"/>
  <c r="L24" i="51" s="1"/>
  <c r="N24" i="51" s="1"/>
  <c r="B24" i="51"/>
  <c r="T23" i="51"/>
  <c r="P23" i="51"/>
  <c r="X23" i="51" s="1"/>
  <c r="H23" i="51"/>
  <c r="N23" i="51" s="1"/>
  <c r="D23" i="51"/>
  <c r="L23" i="51" s="1"/>
  <c r="B23" i="51"/>
  <c r="T22" i="51"/>
  <c r="P22" i="51"/>
  <c r="X22" i="51" s="1"/>
  <c r="H22" i="51"/>
  <c r="D22" i="51"/>
  <c r="B22" i="51"/>
  <c r="X21" i="51"/>
  <c r="T21" i="51"/>
  <c r="Z21" i="51" s="1"/>
  <c r="P21" i="51"/>
  <c r="L21" i="51"/>
  <c r="N21" i="51" s="1"/>
  <c r="H21" i="51"/>
  <c r="D21" i="51"/>
  <c r="B21" i="51"/>
  <c r="T20" i="51"/>
  <c r="P20" i="51"/>
  <c r="X20" i="51" s="1"/>
  <c r="Z20" i="51" s="1"/>
  <c r="H20" i="51"/>
  <c r="D20" i="51"/>
  <c r="L20" i="51" s="1"/>
  <c r="N20" i="51" s="1"/>
  <c r="B20" i="51"/>
  <c r="T19" i="51"/>
  <c r="Z19" i="51" s="1"/>
  <c r="P19" i="51"/>
  <c r="X19" i="51" s="1"/>
  <c r="H19" i="51"/>
  <c r="N19" i="51" s="1"/>
  <c r="D19" i="51"/>
  <c r="L19" i="51" s="1"/>
  <c r="B19" i="51"/>
  <c r="T18" i="51"/>
  <c r="P18" i="51"/>
  <c r="H18" i="51"/>
  <c r="N18" i="51" s="1"/>
  <c r="D18" i="51"/>
  <c r="L18" i="51" s="1"/>
  <c r="B18" i="51"/>
  <c r="Z17" i="51"/>
  <c r="X17" i="51"/>
  <c r="T17" i="51"/>
  <c r="P17" i="51"/>
  <c r="L17" i="51"/>
  <c r="H17" i="51"/>
  <c r="N17" i="51" s="1"/>
  <c r="D17" i="51"/>
  <c r="B17" i="51"/>
  <c r="Z16" i="51"/>
  <c r="T16" i="51"/>
  <c r="P16" i="51"/>
  <c r="X16" i="51" s="1"/>
  <c r="H16" i="51"/>
  <c r="D16" i="51"/>
  <c r="L16" i="51" s="1"/>
  <c r="N16" i="51" s="1"/>
  <c r="B16" i="51"/>
  <c r="T15" i="51"/>
  <c r="Z15" i="51" s="1"/>
  <c r="P15" i="51"/>
  <c r="X15" i="51" s="1"/>
  <c r="H15" i="51"/>
  <c r="D15" i="51"/>
  <c r="B15" i="51"/>
  <c r="T14" i="51"/>
  <c r="P14" i="51"/>
  <c r="X14" i="51" s="1"/>
  <c r="H14" i="51"/>
  <c r="D14" i="51"/>
  <c r="B14" i="51"/>
  <c r="X13" i="51"/>
  <c r="T13" i="51"/>
  <c r="Z13" i="51" s="1"/>
  <c r="P13" i="51"/>
  <c r="L13" i="51"/>
  <c r="N13" i="51" s="1"/>
  <c r="H13" i="51"/>
  <c r="D13" i="51"/>
  <c r="B13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P15" i="50"/>
  <c r="H15" i="50"/>
  <c r="D15" i="50"/>
  <c r="T13" i="50"/>
  <c r="Z13" i="50" s="1"/>
  <c r="P13" i="50"/>
  <c r="H13" i="50"/>
  <c r="N13" i="50" s="1"/>
  <c r="D13" i="50"/>
  <c r="B13" i="50"/>
  <c r="T12" i="50"/>
  <c r="V36" i="50" s="1"/>
  <c r="P12" i="50"/>
  <c r="R21" i="50" s="1"/>
  <c r="H12" i="50"/>
  <c r="J20" i="50" s="1"/>
  <c r="D12" i="50"/>
  <c r="D5" i="50"/>
  <c r="D4" i="50"/>
  <c r="B39" i="49"/>
  <c r="B38" i="49"/>
  <c r="T34" i="49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18" i="49" s="1"/>
  <c r="P12" i="49"/>
  <c r="H12" i="49"/>
  <c r="J22" i="49" s="1"/>
  <c r="D12" i="49"/>
  <c r="F18" i="49" s="1"/>
  <c r="D5" i="49"/>
  <c r="D4" i="49"/>
  <c r="X52" i="48"/>
  <c r="Z52" i="48" s="1"/>
  <c r="L52" i="48"/>
  <c r="N52" i="48" s="1"/>
  <c r="T48" i="48"/>
  <c r="P48" i="48"/>
  <c r="H48" i="48"/>
  <c r="N48" i="48" s="1"/>
  <c r="D48" i="48"/>
  <c r="L48" i="48" s="1"/>
  <c r="B48" i="48"/>
  <c r="T47" i="48"/>
  <c r="D47" i="48"/>
  <c r="Z45" i="48"/>
  <c r="X45" i="48"/>
  <c r="N45" i="48"/>
  <c r="L45" i="48"/>
  <c r="B45" i="48"/>
  <c r="T44" i="48"/>
  <c r="P44" i="48"/>
  <c r="H44" i="48"/>
  <c r="D44" i="48"/>
  <c r="L44" i="48" s="1"/>
  <c r="N44" i="48" s="1"/>
  <c r="B44" i="48"/>
  <c r="X43" i="48"/>
  <c r="Z43" i="48" s="1"/>
  <c r="L43" i="48"/>
  <c r="N43" i="48" s="1"/>
  <c r="B43" i="48"/>
  <c r="T42" i="48"/>
  <c r="P42" i="48"/>
  <c r="X42" i="48" s="1"/>
  <c r="Z42" i="48" s="1"/>
  <c r="H42" i="48"/>
  <c r="N42" i="48" s="1"/>
  <c r="D42" i="48"/>
  <c r="L42" i="48" s="1"/>
  <c r="B42" i="48"/>
  <c r="Z41" i="48"/>
  <c r="X41" i="48"/>
  <c r="N41" i="48"/>
  <c r="L41" i="48"/>
  <c r="B41" i="48"/>
  <c r="T40" i="48"/>
  <c r="Z40" i="48" s="1"/>
  <c r="P40" i="48"/>
  <c r="X40" i="48" s="1"/>
  <c r="N40" i="48"/>
  <c r="L40" i="48"/>
  <c r="H40" i="48"/>
  <c r="D40" i="48"/>
  <c r="B40" i="48"/>
  <c r="X39" i="48"/>
  <c r="Z39" i="48" s="1"/>
  <c r="L39" i="48"/>
  <c r="N39" i="48" s="1"/>
  <c r="B39" i="48"/>
  <c r="X38" i="48"/>
  <c r="Z38" i="48" s="1"/>
  <c r="T38" i="48"/>
  <c r="P38" i="48"/>
  <c r="H38" i="48"/>
  <c r="D38" i="48"/>
  <c r="B38" i="48"/>
  <c r="Z37" i="48"/>
  <c r="X37" i="48"/>
  <c r="N37" i="48"/>
  <c r="L37" i="48"/>
  <c r="B37" i="48"/>
  <c r="T36" i="48"/>
  <c r="P36" i="48"/>
  <c r="H36" i="48"/>
  <c r="N36" i="48" s="1"/>
  <c r="D36" i="48"/>
  <c r="L36" i="48" s="1"/>
  <c r="B36" i="48"/>
  <c r="X35" i="48"/>
  <c r="Z35" i="48" s="1"/>
  <c r="L35" i="48"/>
  <c r="N35" i="48" s="1"/>
  <c r="B35" i="48"/>
  <c r="T34" i="48"/>
  <c r="P34" i="48"/>
  <c r="X34" i="48" s="1"/>
  <c r="H34" i="48"/>
  <c r="N34" i="48" s="1"/>
  <c r="D34" i="48"/>
  <c r="L34" i="48" s="1"/>
  <c r="B34" i="48"/>
  <c r="Z33" i="48"/>
  <c r="X33" i="48"/>
  <c r="N33" i="48"/>
  <c r="L33" i="48"/>
  <c r="B33" i="48"/>
  <c r="X32" i="48"/>
  <c r="Z32" i="48" s="1"/>
  <c r="R32" i="48"/>
  <c r="L32" i="48"/>
  <c r="N32" i="48" s="1"/>
  <c r="F32" i="48"/>
  <c r="B32" i="48"/>
  <c r="Z31" i="48"/>
  <c r="X31" i="48"/>
  <c r="L31" i="48"/>
  <c r="N31" i="48" s="1"/>
  <c r="B31" i="48"/>
  <c r="X30" i="48"/>
  <c r="Z30" i="48" s="1"/>
  <c r="L30" i="48"/>
  <c r="N30" i="48" s="1"/>
  <c r="B30" i="48"/>
  <c r="T29" i="48"/>
  <c r="R29" i="48"/>
  <c r="P29" i="48"/>
  <c r="X29" i="48" s="1"/>
  <c r="Z29" i="48" s="1"/>
  <c r="H29" i="48"/>
  <c r="D29" i="48"/>
  <c r="L29" i="48" s="1"/>
  <c r="N29" i="48" s="1"/>
  <c r="B29" i="48"/>
  <c r="X28" i="48"/>
  <c r="Z28" i="48" s="1"/>
  <c r="R28" i="48"/>
  <c r="L28" i="48"/>
  <c r="N28" i="48" s="1"/>
  <c r="B28" i="48"/>
  <c r="Z27" i="48"/>
  <c r="X27" i="48"/>
  <c r="L27" i="48"/>
  <c r="N27" i="48" s="1"/>
  <c r="B27" i="48"/>
  <c r="X26" i="48"/>
  <c r="Z26" i="48" s="1"/>
  <c r="L26" i="48"/>
  <c r="N26" i="48" s="1"/>
  <c r="B26" i="48"/>
  <c r="Z25" i="48"/>
  <c r="X25" i="48"/>
  <c r="N25" i="48"/>
  <c r="L25" i="48"/>
  <c r="B25" i="48"/>
  <c r="X24" i="48"/>
  <c r="Z24" i="48" s="1"/>
  <c r="R24" i="48"/>
  <c r="L24" i="48"/>
  <c r="N24" i="48" s="1"/>
  <c r="B24" i="48"/>
  <c r="X23" i="48"/>
  <c r="Z23" i="48" s="1"/>
  <c r="L23" i="48"/>
  <c r="N23" i="48" s="1"/>
  <c r="B23" i="48"/>
  <c r="X22" i="48"/>
  <c r="Z22" i="48" s="1"/>
  <c r="L22" i="48"/>
  <c r="N22" i="48" s="1"/>
  <c r="B22" i="48"/>
  <c r="Z21" i="48"/>
  <c r="X21" i="48"/>
  <c r="N21" i="48"/>
  <c r="L21" i="48"/>
  <c r="B21" i="48"/>
  <c r="T20" i="48"/>
  <c r="P20" i="48"/>
  <c r="X20" i="48" s="1"/>
  <c r="L20" i="48"/>
  <c r="N20" i="48" s="1"/>
  <c r="H20" i="48"/>
  <c r="D20" i="48"/>
  <c r="B20" i="48"/>
  <c r="T19" i="48"/>
  <c r="Z19" i="48" s="1"/>
  <c r="P19" i="48"/>
  <c r="X19" i="48" s="1"/>
  <c r="H19" i="48"/>
  <c r="F19" i="48"/>
  <c r="D19" i="48"/>
  <c r="L19" i="48" s="1"/>
  <c r="N19" i="48" s="1"/>
  <c r="P17" i="48"/>
  <c r="X15" i="48"/>
  <c r="T15" i="48"/>
  <c r="Z15" i="48" s="1"/>
  <c r="P15" i="48"/>
  <c r="N15" i="48"/>
  <c r="H15" i="48"/>
  <c r="D15" i="48"/>
  <c r="L15" i="48" s="1"/>
  <c r="T13" i="48"/>
  <c r="P13" i="48"/>
  <c r="H13" i="48"/>
  <c r="D13" i="48"/>
  <c r="D12" i="48" s="1"/>
  <c r="F15" i="48" s="1"/>
  <c r="B13" i="48"/>
  <c r="P12" i="48"/>
  <c r="R44" i="48" s="1"/>
  <c r="D4" i="48"/>
  <c r="B39" i="47"/>
  <c r="B38" i="47"/>
  <c r="T34" i="47"/>
  <c r="Z34" i="47" s="1"/>
  <c r="P34" i="47"/>
  <c r="H34" i="47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D21" i="47"/>
  <c r="B21" i="47"/>
  <c r="T20" i="47"/>
  <c r="Z20" i="47" s="1"/>
  <c r="P20" i="47"/>
  <c r="H20" i="47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D13" i="47"/>
  <c r="B13" i="47"/>
  <c r="T12" i="47"/>
  <c r="V22" i="47" s="1"/>
  <c r="P12" i="47"/>
  <c r="H12" i="47"/>
  <c r="D12" i="47"/>
  <c r="F22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6" i="46" s="1"/>
  <c r="P12" i="46"/>
  <c r="H12" i="46"/>
  <c r="J20" i="46" s="1"/>
  <c r="D12" i="46"/>
  <c r="D5" i="46"/>
  <c r="D4" i="46"/>
  <c r="X77" i="45"/>
  <c r="Z77" i="45" s="1"/>
  <c r="L77" i="45"/>
  <c r="N77" i="45" s="1"/>
  <c r="Z73" i="45"/>
  <c r="X73" i="45"/>
  <c r="T73" i="45"/>
  <c r="P73" i="45"/>
  <c r="N73" i="45"/>
  <c r="H73" i="45"/>
  <c r="L73" i="45" s="1"/>
  <c r="D73" i="45"/>
  <c r="X71" i="45"/>
  <c r="Z71" i="45" s="1"/>
  <c r="L71" i="45"/>
  <c r="N71" i="45" s="1"/>
  <c r="B71" i="45"/>
  <c r="T70" i="45"/>
  <c r="P70" i="45"/>
  <c r="X70" i="45" s="1"/>
  <c r="H70" i="45"/>
  <c r="D70" i="45"/>
  <c r="B70" i="45"/>
  <c r="Z69" i="45"/>
  <c r="X69" i="45"/>
  <c r="L69" i="45"/>
  <c r="N69" i="45" s="1"/>
  <c r="B69" i="45"/>
  <c r="Z68" i="45"/>
  <c r="X68" i="45"/>
  <c r="N68" i="45"/>
  <c r="L68" i="45"/>
  <c r="B68" i="45"/>
  <c r="Z67" i="45"/>
  <c r="X67" i="45"/>
  <c r="N67" i="45"/>
  <c r="L67" i="45"/>
  <c r="B67" i="45"/>
  <c r="X66" i="45"/>
  <c r="Z66" i="45" s="1"/>
  <c r="L66" i="45"/>
  <c r="N66" i="45" s="1"/>
  <c r="B66" i="45"/>
  <c r="X65" i="45"/>
  <c r="Z65" i="45" s="1"/>
  <c r="L65" i="45"/>
  <c r="N65" i="45" s="1"/>
  <c r="B65" i="45"/>
  <c r="T64" i="45"/>
  <c r="P64" i="45"/>
  <c r="X64" i="45" s="1"/>
  <c r="H64" i="45"/>
  <c r="D64" i="45"/>
  <c r="L64" i="45" s="1"/>
  <c r="N64" i="45" s="1"/>
  <c r="B64" i="45"/>
  <c r="Z63" i="45"/>
  <c r="X63" i="45"/>
  <c r="N63" i="45"/>
  <c r="L63" i="45"/>
  <c r="B63" i="45"/>
  <c r="X62" i="45"/>
  <c r="Z62" i="45" s="1"/>
  <c r="L62" i="45"/>
  <c r="N62" i="45" s="1"/>
  <c r="B62" i="45"/>
  <c r="X61" i="45"/>
  <c r="Z61" i="45" s="1"/>
  <c r="L61" i="45"/>
  <c r="N61" i="45" s="1"/>
  <c r="B61" i="45"/>
  <c r="T60" i="45"/>
  <c r="P60" i="45"/>
  <c r="X60" i="45" s="1"/>
  <c r="H60" i="45"/>
  <c r="D60" i="45"/>
  <c r="L60" i="45" s="1"/>
  <c r="N60" i="45" s="1"/>
  <c r="B60" i="45"/>
  <c r="Z59" i="45"/>
  <c r="X59" i="45"/>
  <c r="N59" i="45"/>
  <c r="L59" i="45"/>
  <c r="B59" i="45"/>
  <c r="X58" i="45"/>
  <c r="Z58" i="45" s="1"/>
  <c r="L58" i="45"/>
  <c r="N58" i="45" s="1"/>
  <c r="B58" i="45"/>
  <c r="Z57" i="45"/>
  <c r="X57" i="45"/>
  <c r="N57" i="45"/>
  <c r="L57" i="45"/>
  <c r="B57" i="45"/>
  <c r="T56" i="45"/>
  <c r="P56" i="45"/>
  <c r="X56" i="45" s="1"/>
  <c r="H56" i="45"/>
  <c r="D56" i="45"/>
  <c r="L56" i="45" s="1"/>
  <c r="N56" i="45" s="1"/>
  <c r="B56" i="45"/>
  <c r="X55" i="45"/>
  <c r="Z55" i="45" s="1"/>
  <c r="N55" i="45"/>
  <c r="L55" i="45"/>
  <c r="B55" i="45"/>
  <c r="T54" i="45"/>
  <c r="P54" i="45"/>
  <c r="X54" i="45" s="1"/>
  <c r="Z54" i="45" s="1"/>
  <c r="H54" i="45"/>
  <c r="L54" i="45" s="1"/>
  <c r="N54" i="45" s="1"/>
  <c r="D54" i="45"/>
  <c r="B54" i="45"/>
  <c r="X53" i="45"/>
  <c r="Z53" i="45" s="1"/>
  <c r="N53" i="45"/>
  <c r="L53" i="45"/>
  <c r="B53" i="45"/>
  <c r="T52" i="45"/>
  <c r="X52" i="45" s="1"/>
  <c r="Z52" i="45" s="1"/>
  <c r="P52" i="45"/>
  <c r="L52" i="45"/>
  <c r="H52" i="45"/>
  <c r="N52" i="45" s="1"/>
  <c r="D52" i="45"/>
  <c r="B52" i="45"/>
  <c r="Z51" i="45"/>
  <c r="X51" i="45"/>
  <c r="N51" i="45"/>
  <c r="L51" i="45"/>
  <c r="B51" i="45"/>
  <c r="X50" i="45"/>
  <c r="V50" i="45"/>
  <c r="T50" i="45"/>
  <c r="Z50" i="45" s="1"/>
  <c r="P50" i="45"/>
  <c r="H50" i="45"/>
  <c r="N50" i="45" s="1"/>
  <c r="D50" i="45"/>
  <c r="L50" i="45" s="1"/>
  <c r="B50" i="45"/>
  <c r="Z49" i="45"/>
  <c r="X49" i="45"/>
  <c r="L49" i="45"/>
  <c r="N49" i="45" s="1"/>
  <c r="B49" i="45"/>
  <c r="T48" i="45"/>
  <c r="P48" i="45"/>
  <c r="X48" i="45" s="1"/>
  <c r="H48" i="45"/>
  <c r="D48" i="45"/>
  <c r="L48" i="45" s="1"/>
  <c r="N48" i="45" s="1"/>
  <c r="B48" i="45"/>
  <c r="X47" i="45"/>
  <c r="Z47" i="45" s="1"/>
  <c r="N47" i="45"/>
  <c r="L47" i="45"/>
  <c r="B47" i="45"/>
  <c r="T46" i="45"/>
  <c r="P46" i="45"/>
  <c r="X46" i="45" s="1"/>
  <c r="Z46" i="45" s="1"/>
  <c r="H46" i="45"/>
  <c r="L46" i="45" s="1"/>
  <c r="N46" i="45" s="1"/>
  <c r="D46" i="45"/>
  <c r="B46" i="45"/>
  <c r="Z45" i="45"/>
  <c r="X45" i="45"/>
  <c r="N45" i="45"/>
  <c r="L45" i="45"/>
  <c r="B45" i="45"/>
  <c r="Z44" i="45"/>
  <c r="T44" i="45"/>
  <c r="X44" i="45" s="1"/>
  <c r="P44" i="45"/>
  <c r="L44" i="45"/>
  <c r="H44" i="45"/>
  <c r="N44" i="45" s="1"/>
  <c r="D44" i="45"/>
  <c r="B44" i="45"/>
  <c r="Z43" i="45"/>
  <c r="X43" i="45"/>
  <c r="N43" i="45"/>
  <c r="L43" i="45"/>
  <c r="B43" i="45"/>
  <c r="X42" i="45"/>
  <c r="V42" i="45"/>
  <c r="T42" i="45"/>
  <c r="Z42" i="45" s="1"/>
  <c r="P42" i="45"/>
  <c r="H42" i="45"/>
  <c r="N42" i="45" s="1"/>
  <c r="D42" i="45"/>
  <c r="L42" i="45" s="1"/>
  <c r="B42" i="45"/>
  <c r="Z41" i="45"/>
  <c r="X41" i="45"/>
  <c r="L41" i="45"/>
  <c r="N41" i="45" s="1"/>
  <c r="B41" i="45"/>
  <c r="T40" i="45"/>
  <c r="P40" i="45"/>
  <c r="X40" i="45" s="1"/>
  <c r="H40" i="45"/>
  <c r="D40" i="45"/>
  <c r="L40" i="45" s="1"/>
  <c r="N40" i="45" s="1"/>
  <c r="B40" i="45"/>
  <c r="Z39" i="45"/>
  <c r="X39" i="45"/>
  <c r="N39" i="45"/>
  <c r="L39" i="45"/>
  <c r="B39" i="45"/>
  <c r="Z38" i="45"/>
  <c r="X38" i="45"/>
  <c r="N38" i="45"/>
  <c r="L38" i="45"/>
  <c r="B38" i="45"/>
  <c r="Z37" i="45"/>
  <c r="X37" i="45"/>
  <c r="L37" i="45"/>
  <c r="N37" i="45" s="1"/>
  <c r="B37" i="45"/>
  <c r="Z36" i="45"/>
  <c r="X36" i="45"/>
  <c r="N36" i="45"/>
  <c r="L36" i="45"/>
  <c r="B36" i="45"/>
  <c r="Z35" i="45"/>
  <c r="X35" i="45"/>
  <c r="N35" i="45"/>
  <c r="L35" i="45"/>
  <c r="B35" i="45"/>
  <c r="X34" i="45"/>
  <c r="V34" i="45"/>
  <c r="T34" i="45"/>
  <c r="Z34" i="45" s="1"/>
  <c r="P34" i="45"/>
  <c r="H34" i="45"/>
  <c r="N34" i="45" s="1"/>
  <c r="D34" i="45"/>
  <c r="L34" i="45" s="1"/>
  <c r="B34" i="45"/>
  <c r="Z33" i="45"/>
  <c r="X33" i="45"/>
  <c r="L33" i="45"/>
  <c r="N33" i="45" s="1"/>
  <c r="B33" i="45"/>
  <c r="Z32" i="45"/>
  <c r="X32" i="45"/>
  <c r="N32" i="45"/>
  <c r="L32" i="45"/>
  <c r="B32" i="45"/>
  <c r="Z31" i="45"/>
  <c r="X31" i="45"/>
  <c r="N31" i="45"/>
  <c r="L31" i="45"/>
  <c r="B31" i="45"/>
  <c r="X30" i="45"/>
  <c r="Z30" i="45" s="1"/>
  <c r="V30" i="45"/>
  <c r="L30" i="45"/>
  <c r="N30" i="45" s="1"/>
  <c r="B30" i="45"/>
  <c r="X29" i="45"/>
  <c r="Z29" i="45" s="1"/>
  <c r="N29" i="45"/>
  <c r="L29" i="45"/>
  <c r="B29" i="45"/>
  <c r="Z28" i="45"/>
  <c r="X28" i="45"/>
  <c r="N28" i="45"/>
  <c r="L28" i="45"/>
  <c r="B28" i="45"/>
  <c r="Z27" i="45"/>
  <c r="X27" i="45"/>
  <c r="N27" i="45"/>
  <c r="L27" i="45"/>
  <c r="B27" i="45"/>
  <c r="X26" i="45"/>
  <c r="Z26" i="45" s="1"/>
  <c r="L26" i="45"/>
  <c r="N26" i="45" s="1"/>
  <c r="B26" i="45"/>
  <c r="Z25" i="45"/>
  <c r="X25" i="45"/>
  <c r="L25" i="45"/>
  <c r="N25" i="45" s="1"/>
  <c r="B25" i="45"/>
  <c r="T24" i="45"/>
  <c r="Z24" i="45" s="1"/>
  <c r="P24" i="45"/>
  <c r="X24" i="45" s="1"/>
  <c r="H24" i="45"/>
  <c r="D24" i="45"/>
  <c r="L24" i="45" s="1"/>
  <c r="N24" i="45" s="1"/>
  <c r="B24" i="45"/>
  <c r="T23" i="45"/>
  <c r="P23" i="45"/>
  <c r="L23" i="45"/>
  <c r="N23" i="45" s="1"/>
  <c r="H23" i="45"/>
  <c r="D23" i="45"/>
  <c r="T21" i="45"/>
  <c r="T75" i="45" s="1"/>
  <c r="X19" i="45"/>
  <c r="Z19" i="45" s="1"/>
  <c r="L19" i="45"/>
  <c r="N19" i="45" s="1"/>
  <c r="B19" i="45"/>
  <c r="Z18" i="45"/>
  <c r="X18" i="45"/>
  <c r="L18" i="45"/>
  <c r="N18" i="45" s="1"/>
  <c r="B18" i="45"/>
  <c r="T17" i="45"/>
  <c r="P17" i="45"/>
  <c r="X17" i="45" s="1"/>
  <c r="Z17" i="45" s="1"/>
  <c r="H17" i="45"/>
  <c r="D17" i="45"/>
  <c r="X15" i="45"/>
  <c r="Z15" i="45" s="1"/>
  <c r="T15" i="45"/>
  <c r="P15" i="45"/>
  <c r="L15" i="45"/>
  <c r="N15" i="45" s="1"/>
  <c r="H15" i="45"/>
  <c r="D15" i="45"/>
  <c r="B15" i="45"/>
  <c r="T14" i="45"/>
  <c r="P14" i="45"/>
  <c r="X14" i="45" s="1"/>
  <c r="Z14" i="45" s="1"/>
  <c r="H14" i="45"/>
  <c r="D14" i="45"/>
  <c r="L14" i="45" s="1"/>
  <c r="N14" i="45" s="1"/>
  <c r="B14" i="45"/>
  <c r="T13" i="45"/>
  <c r="P13" i="45"/>
  <c r="X13" i="45" s="1"/>
  <c r="H13" i="45"/>
  <c r="D13" i="45"/>
  <c r="D12" i="45" s="1"/>
  <c r="B13" i="45"/>
  <c r="T12" i="45"/>
  <c r="V70" i="45" s="1"/>
  <c r="H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P20" i="44"/>
  <c r="H20" i="44"/>
  <c r="N20" i="44" s="1"/>
  <c r="D20" i="44"/>
  <c r="T16" i="44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0" i="44" s="1"/>
  <c r="P12" i="44"/>
  <c r="R36" i="44" s="1"/>
  <c r="H12" i="44"/>
  <c r="J34" i="44" s="1"/>
  <c r="D12" i="44"/>
  <c r="F20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4" i="43" s="1"/>
  <c r="P12" i="43"/>
  <c r="R20" i="43" s="1"/>
  <c r="H12" i="43"/>
  <c r="J20" i="43" s="1"/>
  <c r="D12" i="43"/>
  <c r="F22" i="43" s="1"/>
  <c r="D5" i="43"/>
  <c r="D4" i="43"/>
  <c r="X88" i="42"/>
  <c r="Z88" i="42" s="1"/>
  <c r="L88" i="42"/>
  <c r="N88" i="42" s="1"/>
  <c r="T84" i="42"/>
  <c r="P84" i="42"/>
  <c r="L84" i="42"/>
  <c r="H84" i="42"/>
  <c r="N84" i="42" s="1"/>
  <c r="D84" i="42"/>
  <c r="D81" i="42" s="1"/>
  <c r="B84" i="42"/>
  <c r="V83" i="42"/>
  <c r="T83" i="42"/>
  <c r="P83" i="42"/>
  <c r="X83" i="42" s="1"/>
  <c r="H83" i="42"/>
  <c r="F83" i="42"/>
  <c r="D83" i="42"/>
  <c r="L83" i="42" s="1"/>
  <c r="N83" i="42" s="1"/>
  <c r="B83" i="42"/>
  <c r="T82" i="42"/>
  <c r="P82" i="42"/>
  <c r="X82" i="42" s="1"/>
  <c r="Z82" i="42" s="1"/>
  <c r="H82" i="42"/>
  <c r="D82" i="42"/>
  <c r="B82" i="42"/>
  <c r="Z79" i="42"/>
  <c r="X79" i="42"/>
  <c r="N79" i="42"/>
  <c r="L79" i="42"/>
  <c r="B79" i="42"/>
  <c r="T78" i="42"/>
  <c r="P78" i="42"/>
  <c r="X78" i="42" s="1"/>
  <c r="H78" i="42"/>
  <c r="D78" i="42"/>
  <c r="L78" i="42" s="1"/>
  <c r="N78" i="42" s="1"/>
  <c r="B78" i="42"/>
  <c r="Z77" i="42"/>
  <c r="X77" i="42"/>
  <c r="L77" i="42"/>
  <c r="N77" i="42" s="1"/>
  <c r="B77" i="42"/>
  <c r="T76" i="42"/>
  <c r="P76" i="42"/>
  <c r="X76" i="42" s="1"/>
  <c r="Z76" i="42" s="1"/>
  <c r="H76" i="42"/>
  <c r="D76" i="42"/>
  <c r="B76" i="42"/>
  <c r="Z75" i="42"/>
  <c r="X75" i="42"/>
  <c r="N75" i="42"/>
  <c r="L75" i="42"/>
  <c r="B75" i="42"/>
  <c r="T74" i="42"/>
  <c r="P74" i="42"/>
  <c r="L74" i="42"/>
  <c r="H74" i="42"/>
  <c r="N74" i="42" s="1"/>
  <c r="D74" i="42"/>
  <c r="B74" i="42"/>
  <c r="Z73" i="42"/>
  <c r="X73" i="42"/>
  <c r="V73" i="42"/>
  <c r="N73" i="42"/>
  <c r="L73" i="42"/>
  <c r="B73" i="42"/>
  <c r="X72" i="42"/>
  <c r="Z72" i="42" s="1"/>
  <c r="L72" i="42"/>
  <c r="N72" i="42" s="1"/>
  <c r="B72" i="42"/>
  <c r="Z71" i="42"/>
  <c r="X71" i="42"/>
  <c r="N71" i="42"/>
  <c r="L71" i="42"/>
  <c r="B71" i="42"/>
  <c r="Z70" i="42"/>
  <c r="X70" i="42"/>
  <c r="N70" i="42"/>
  <c r="L70" i="42"/>
  <c r="F70" i="42"/>
  <c r="B70" i="42"/>
  <c r="Z69" i="42"/>
  <c r="X69" i="42"/>
  <c r="L69" i="42"/>
  <c r="N69" i="42" s="1"/>
  <c r="B69" i="42"/>
  <c r="T68" i="42"/>
  <c r="P68" i="42"/>
  <c r="X68" i="42" s="1"/>
  <c r="Z68" i="42" s="1"/>
  <c r="H68" i="42"/>
  <c r="D68" i="42"/>
  <c r="B68" i="42"/>
  <c r="Z67" i="42"/>
  <c r="X67" i="42"/>
  <c r="N67" i="42"/>
  <c r="L67" i="42"/>
  <c r="B67" i="42"/>
  <c r="T66" i="42"/>
  <c r="P66" i="42"/>
  <c r="L66" i="42"/>
  <c r="H66" i="42"/>
  <c r="N66" i="42" s="1"/>
  <c r="D66" i="42"/>
  <c r="B66" i="42"/>
  <c r="X65" i="42"/>
  <c r="Z65" i="42" s="1"/>
  <c r="V65" i="42"/>
  <c r="N65" i="42"/>
  <c r="L65" i="42"/>
  <c r="B65" i="42"/>
  <c r="Z64" i="42"/>
  <c r="X64" i="42"/>
  <c r="N64" i="42"/>
  <c r="L64" i="42"/>
  <c r="B64" i="42"/>
  <c r="Z63" i="42"/>
  <c r="X63" i="42"/>
  <c r="N63" i="42"/>
  <c r="L63" i="42"/>
  <c r="B63" i="42"/>
  <c r="X62" i="42"/>
  <c r="Z62" i="42" s="1"/>
  <c r="L62" i="42"/>
  <c r="N62" i="42" s="1"/>
  <c r="F62" i="42"/>
  <c r="B62" i="42"/>
  <c r="T61" i="42"/>
  <c r="P61" i="42"/>
  <c r="X61" i="42" s="1"/>
  <c r="Z61" i="42" s="1"/>
  <c r="N61" i="42"/>
  <c r="L61" i="42"/>
  <c r="H61" i="42"/>
  <c r="D61" i="42"/>
  <c r="B61" i="42"/>
  <c r="X60" i="42"/>
  <c r="Z60" i="42" s="1"/>
  <c r="L60" i="42"/>
  <c r="N60" i="42" s="1"/>
  <c r="B60" i="42"/>
  <c r="Z59" i="42"/>
  <c r="X59" i="42"/>
  <c r="N59" i="42"/>
  <c r="L59" i="42"/>
  <c r="B59" i="42"/>
  <c r="T58" i="42"/>
  <c r="P58" i="42"/>
  <c r="L58" i="42"/>
  <c r="N58" i="42" s="1"/>
  <c r="H58" i="42"/>
  <c r="D58" i="42"/>
  <c r="B58" i="42"/>
  <c r="Z57" i="42"/>
  <c r="X57" i="42"/>
  <c r="V57" i="42"/>
  <c r="N57" i="42"/>
  <c r="L57" i="42"/>
  <c r="B57" i="42"/>
  <c r="X56" i="42"/>
  <c r="T56" i="42"/>
  <c r="Z56" i="42" s="1"/>
  <c r="P56" i="42"/>
  <c r="H56" i="42"/>
  <c r="N56" i="42" s="1"/>
  <c r="D56" i="42"/>
  <c r="L56" i="42" s="1"/>
  <c r="B56" i="42"/>
  <c r="Z55" i="42"/>
  <c r="X55" i="42"/>
  <c r="N55" i="42"/>
  <c r="L55" i="42"/>
  <c r="B55" i="42"/>
  <c r="T54" i="42"/>
  <c r="P54" i="42"/>
  <c r="X54" i="42" s="1"/>
  <c r="H54" i="42"/>
  <c r="D54" i="42"/>
  <c r="L54" i="42" s="1"/>
  <c r="N54" i="42" s="1"/>
  <c r="B54" i="42"/>
  <c r="Z53" i="42"/>
  <c r="X53" i="42"/>
  <c r="L53" i="42"/>
  <c r="N53" i="42" s="1"/>
  <c r="B53" i="42"/>
  <c r="T52" i="42"/>
  <c r="P52" i="42"/>
  <c r="X52" i="42" s="1"/>
  <c r="Z52" i="42" s="1"/>
  <c r="H52" i="42"/>
  <c r="D52" i="42"/>
  <c r="B52" i="42"/>
  <c r="Z51" i="42"/>
  <c r="X51" i="42"/>
  <c r="N51" i="42"/>
  <c r="L51" i="42"/>
  <c r="B51" i="42"/>
  <c r="T50" i="42"/>
  <c r="P50" i="42"/>
  <c r="L50" i="42"/>
  <c r="H50" i="42"/>
  <c r="N50" i="42" s="1"/>
  <c r="D50" i="42"/>
  <c r="B50" i="42"/>
  <c r="X49" i="42"/>
  <c r="Z49" i="42" s="1"/>
  <c r="V49" i="42"/>
  <c r="N49" i="42"/>
  <c r="L49" i="42"/>
  <c r="B49" i="42"/>
  <c r="X48" i="42"/>
  <c r="T48" i="42"/>
  <c r="Z48" i="42" s="1"/>
  <c r="P48" i="42"/>
  <c r="H48" i="42"/>
  <c r="N48" i="42" s="1"/>
  <c r="D48" i="42"/>
  <c r="L48" i="42" s="1"/>
  <c r="B48" i="42"/>
  <c r="Z47" i="42"/>
  <c r="X47" i="42"/>
  <c r="N47" i="42"/>
  <c r="L47" i="42"/>
  <c r="B47" i="42"/>
  <c r="X46" i="42"/>
  <c r="Z46" i="42" s="1"/>
  <c r="L46" i="42"/>
  <c r="N46" i="42" s="1"/>
  <c r="B46" i="42"/>
  <c r="X45" i="42"/>
  <c r="V45" i="42"/>
  <c r="T45" i="42"/>
  <c r="Z45" i="42" s="1"/>
  <c r="P45" i="42"/>
  <c r="H45" i="42"/>
  <c r="F45" i="42"/>
  <c r="D45" i="42"/>
  <c r="L45" i="42" s="1"/>
  <c r="N45" i="42" s="1"/>
  <c r="B45" i="42"/>
  <c r="X44" i="42"/>
  <c r="Z44" i="42" s="1"/>
  <c r="L44" i="42"/>
  <c r="N44" i="42" s="1"/>
  <c r="B44" i="42"/>
  <c r="T43" i="42"/>
  <c r="P43" i="42"/>
  <c r="X43" i="42" s="1"/>
  <c r="Z43" i="42" s="1"/>
  <c r="H43" i="42"/>
  <c r="D43" i="42"/>
  <c r="L43" i="42" s="1"/>
  <c r="N43" i="42" s="1"/>
  <c r="B43" i="42"/>
  <c r="Z42" i="42"/>
  <c r="X42" i="42"/>
  <c r="N42" i="42"/>
  <c r="L42" i="42"/>
  <c r="F42" i="42"/>
  <c r="B42" i="42"/>
  <c r="Z41" i="42"/>
  <c r="T41" i="42"/>
  <c r="P41" i="42"/>
  <c r="X41" i="42" s="1"/>
  <c r="N41" i="42"/>
  <c r="H41" i="42"/>
  <c r="L41" i="42" s="1"/>
  <c r="D41" i="42"/>
  <c r="B41" i="42"/>
  <c r="X40" i="42"/>
  <c r="Z40" i="42" s="1"/>
  <c r="L40" i="42"/>
  <c r="N40" i="42" s="1"/>
  <c r="B40" i="42"/>
  <c r="T39" i="42"/>
  <c r="X39" i="42" s="1"/>
  <c r="Z39" i="42" s="1"/>
  <c r="P39" i="42"/>
  <c r="L39" i="42"/>
  <c r="H39" i="42"/>
  <c r="N39" i="42" s="1"/>
  <c r="D39" i="42"/>
  <c r="B39" i="42"/>
  <c r="Z38" i="42"/>
  <c r="X38" i="42"/>
  <c r="L38" i="42"/>
  <c r="N38" i="42" s="1"/>
  <c r="B38" i="42"/>
  <c r="Z37" i="42"/>
  <c r="X37" i="42"/>
  <c r="V37" i="42"/>
  <c r="N37" i="42"/>
  <c r="L37" i="42"/>
  <c r="B37" i="42"/>
  <c r="X36" i="42"/>
  <c r="Z36" i="42" s="1"/>
  <c r="L36" i="42"/>
  <c r="N36" i="42" s="1"/>
  <c r="B36" i="42"/>
  <c r="Z35" i="42"/>
  <c r="X35" i="42"/>
  <c r="N35" i="42"/>
  <c r="L35" i="42"/>
  <c r="B35" i="42"/>
  <c r="X34" i="42"/>
  <c r="Z34" i="42" s="1"/>
  <c r="L34" i="42"/>
  <c r="N34" i="42" s="1"/>
  <c r="F34" i="42"/>
  <c r="B34" i="42"/>
  <c r="T33" i="42"/>
  <c r="P33" i="42"/>
  <c r="X33" i="42" s="1"/>
  <c r="Z33" i="42" s="1"/>
  <c r="H33" i="42"/>
  <c r="L33" i="42" s="1"/>
  <c r="N33" i="42" s="1"/>
  <c r="D33" i="42"/>
  <c r="B33" i="42"/>
  <c r="X32" i="42"/>
  <c r="Z32" i="42" s="1"/>
  <c r="L32" i="42"/>
  <c r="N32" i="42" s="1"/>
  <c r="B32" i="42"/>
  <c r="Z31" i="42"/>
  <c r="X31" i="42"/>
  <c r="N31" i="42"/>
  <c r="L31" i="42"/>
  <c r="B31" i="42"/>
  <c r="X30" i="42"/>
  <c r="Z30" i="42" s="1"/>
  <c r="L30" i="42"/>
  <c r="N30" i="42" s="1"/>
  <c r="F30" i="42"/>
  <c r="B30" i="42"/>
  <c r="Z29" i="42"/>
  <c r="X29" i="42"/>
  <c r="L29" i="42"/>
  <c r="N29" i="42" s="1"/>
  <c r="B29" i="42"/>
  <c r="X28" i="42"/>
  <c r="Z28" i="42" s="1"/>
  <c r="L28" i="42"/>
  <c r="N28" i="42" s="1"/>
  <c r="B28" i="42"/>
  <c r="Z27" i="42"/>
  <c r="X27" i="42"/>
  <c r="N27" i="42"/>
  <c r="L27" i="42"/>
  <c r="B27" i="42"/>
  <c r="X26" i="42"/>
  <c r="Z26" i="42" s="1"/>
  <c r="L26" i="42"/>
  <c r="N26" i="42" s="1"/>
  <c r="B26" i="42"/>
  <c r="X25" i="42"/>
  <c r="Z25" i="42" s="1"/>
  <c r="V25" i="42"/>
  <c r="N25" i="42"/>
  <c r="L25" i="42"/>
  <c r="B25" i="42"/>
  <c r="X24" i="42"/>
  <c r="Z24" i="42" s="1"/>
  <c r="T24" i="42"/>
  <c r="P24" i="42"/>
  <c r="H24" i="42"/>
  <c r="D24" i="42"/>
  <c r="L24" i="42" s="1"/>
  <c r="B24" i="42"/>
  <c r="T23" i="42"/>
  <c r="Z23" i="42" s="1"/>
  <c r="P23" i="42"/>
  <c r="X23" i="42" s="1"/>
  <c r="H23" i="42"/>
  <c r="D23" i="42"/>
  <c r="L23" i="42" s="1"/>
  <c r="N23" i="42" s="1"/>
  <c r="Z19" i="42"/>
  <c r="X19" i="42"/>
  <c r="N19" i="42"/>
  <c r="L19" i="42"/>
  <c r="B19" i="42"/>
  <c r="Z18" i="42"/>
  <c r="X18" i="42"/>
  <c r="N18" i="42"/>
  <c r="L18" i="42"/>
  <c r="B18" i="42"/>
  <c r="X17" i="42"/>
  <c r="V17" i="42"/>
  <c r="T17" i="42"/>
  <c r="Z17" i="42" s="1"/>
  <c r="P17" i="42"/>
  <c r="H17" i="42"/>
  <c r="N17" i="42" s="1"/>
  <c r="F17" i="42"/>
  <c r="D17" i="42"/>
  <c r="L17" i="42" s="1"/>
  <c r="T15" i="42"/>
  <c r="Z15" i="42" s="1"/>
  <c r="P15" i="42"/>
  <c r="H15" i="42"/>
  <c r="D15" i="42"/>
  <c r="B15" i="42"/>
  <c r="X14" i="42"/>
  <c r="Z14" i="42" s="1"/>
  <c r="T14" i="42"/>
  <c r="P14" i="42"/>
  <c r="L14" i="42"/>
  <c r="N14" i="42" s="1"/>
  <c r="H14" i="42"/>
  <c r="D14" i="42"/>
  <c r="B14" i="42"/>
  <c r="Z13" i="42"/>
  <c r="T13" i="42"/>
  <c r="P13" i="42"/>
  <c r="X13" i="42" s="1"/>
  <c r="N13" i="42"/>
  <c r="L13" i="42"/>
  <c r="H13" i="42"/>
  <c r="H12" i="42" s="1"/>
  <c r="D13" i="42"/>
  <c r="B13" i="42"/>
  <c r="T12" i="42"/>
  <c r="V72" i="42" s="1"/>
  <c r="P12" i="42"/>
  <c r="D12" i="42"/>
  <c r="F77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18" i="41" s="1"/>
  <c r="P12" i="41"/>
  <c r="R31" i="41" s="1"/>
  <c r="H12" i="41"/>
  <c r="J22" i="41" s="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4" i="40" s="1"/>
  <c r="P12" i="40"/>
  <c r="R34" i="40" s="1"/>
  <c r="H12" i="40"/>
  <c r="J36" i="40" s="1"/>
  <c r="D12" i="40"/>
  <c r="F24" i="40" s="1"/>
  <c r="D5" i="40"/>
  <c r="D4" i="40"/>
  <c r="Z92" i="39"/>
  <c r="X92" i="39"/>
  <c r="N92" i="39"/>
  <c r="L92" i="39"/>
  <c r="T88" i="39"/>
  <c r="P88" i="39"/>
  <c r="X88" i="39" s="1"/>
  <c r="H88" i="39"/>
  <c r="D88" i="39"/>
  <c r="L88" i="39" s="1"/>
  <c r="B88" i="39"/>
  <c r="T87" i="39"/>
  <c r="P87" i="39"/>
  <c r="L87" i="39"/>
  <c r="N87" i="39" s="1"/>
  <c r="H87" i="39"/>
  <c r="D87" i="39"/>
  <c r="D85" i="39" s="1"/>
  <c r="B87" i="39"/>
  <c r="X86" i="39"/>
  <c r="T86" i="39"/>
  <c r="Z86" i="39" s="1"/>
  <c r="P86" i="39"/>
  <c r="H86" i="39"/>
  <c r="D86" i="39"/>
  <c r="B86" i="39"/>
  <c r="P85" i="39"/>
  <c r="X83" i="39"/>
  <c r="Z83" i="39" s="1"/>
  <c r="L83" i="39"/>
  <c r="N83" i="39" s="1"/>
  <c r="B83" i="39"/>
  <c r="T82" i="39"/>
  <c r="P82" i="39"/>
  <c r="X82" i="39" s="1"/>
  <c r="Z82" i="39" s="1"/>
  <c r="L82" i="39"/>
  <c r="H82" i="39"/>
  <c r="N82" i="39" s="1"/>
  <c r="D82" i="39"/>
  <c r="B82" i="39"/>
  <c r="Z81" i="39"/>
  <c r="X81" i="39"/>
  <c r="L81" i="39"/>
  <c r="N81" i="39" s="1"/>
  <c r="B81" i="39"/>
  <c r="X80" i="39"/>
  <c r="Z80" i="39" s="1"/>
  <c r="T80" i="39"/>
  <c r="P80" i="39"/>
  <c r="H80" i="39"/>
  <c r="D80" i="39"/>
  <c r="B80" i="39"/>
  <c r="X79" i="39"/>
  <c r="Z79" i="39" s="1"/>
  <c r="L79" i="39"/>
  <c r="N79" i="39" s="1"/>
  <c r="B79" i="39"/>
  <c r="T78" i="39"/>
  <c r="P78" i="39"/>
  <c r="H78" i="39"/>
  <c r="D78" i="39"/>
  <c r="L78" i="39" s="1"/>
  <c r="B78" i="39"/>
  <c r="Z77" i="39"/>
  <c r="X77" i="39"/>
  <c r="N77" i="39"/>
  <c r="L77" i="39"/>
  <c r="B77" i="39"/>
  <c r="X76" i="39"/>
  <c r="Z76" i="39" s="1"/>
  <c r="L76" i="39"/>
  <c r="N76" i="39" s="1"/>
  <c r="B76" i="39"/>
  <c r="Z75" i="39"/>
  <c r="X75" i="39"/>
  <c r="N75" i="39"/>
  <c r="L75" i="39"/>
  <c r="B75" i="39"/>
  <c r="Z74" i="39"/>
  <c r="X74" i="39"/>
  <c r="N74" i="39"/>
  <c r="L74" i="39"/>
  <c r="B74" i="39"/>
  <c r="Z73" i="39"/>
  <c r="X73" i="39"/>
  <c r="L73" i="39"/>
  <c r="N73" i="39" s="1"/>
  <c r="B73" i="39"/>
  <c r="X72" i="39"/>
  <c r="T72" i="39"/>
  <c r="Z72" i="39" s="1"/>
  <c r="P72" i="39"/>
  <c r="H72" i="39"/>
  <c r="N72" i="39" s="1"/>
  <c r="D72" i="39"/>
  <c r="L72" i="39" s="1"/>
  <c r="B72" i="39"/>
  <c r="X71" i="39"/>
  <c r="Z71" i="39" s="1"/>
  <c r="L71" i="39"/>
  <c r="N71" i="39" s="1"/>
  <c r="B71" i="39"/>
  <c r="T70" i="39"/>
  <c r="P70" i="39"/>
  <c r="X70" i="39" s="1"/>
  <c r="H70" i="39"/>
  <c r="D70" i="39"/>
  <c r="L70" i="39" s="1"/>
  <c r="N70" i="39" s="1"/>
  <c r="B70" i="39"/>
  <c r="X69" i="39"/>
  <c r="Z69" i="39" s="1"/>
  <c r="N69" i="39"/>
  <c r="L69" i="39"/>
  <c r="B69" i="39"/>
  <c r="X68" i="39"/>
  <c r="Z68" i="39" s="1"/>
  <c r="L68" i="39"/>
  <c r="N68" i="39" s="1"/>
  <c r="B68" i="39"/>
  <c r="Z67" i="39"/>
  <c r="X67" i="39"/>
  <c r="L67" i="39"/>
  <c r="N67" i="39" s="1"/>
  <c r="B67" i="39"/>
  <c r="Z66" i="39"/>
  <c r="X66" i="39"/>
  <c r="N66" i="39"/>
  <c r="L66" i="39"/>
  <c r="B66" i="39"/>
  <c r="T65" i="39"/>
  <c r="P65" i="39"/>
  <c r="H65" i="39"/>
  <c r="D65" i="39"/>
  <c r="L65" i="39" s="1"/>
  <c r="N65" i="39" s="1"/>
  <c r="B65" i="39"/>
  <c r="X64" i="39"/>
  <c r="Z64" i="39" s="1"/>
  <c r="L64" i="39"/>
  <c r="N64" i="39" s="1"/>
  <c r="B64" i="39"/>
  <c r="Z63" i="39"/>
  <c r="X63" i="39"/>
  <c r="L63" i="39"/>
  <c r="N63" i="39" s="1"/>
  <c r="B63" i="39"/>
  <c r="T62" i="39"/>
  <c r="Z62" i="39" s="1"/>
  <c r="P62" i="39"/>
  <c r="X62" i="39" s="1"/>
  <c r="H62" i="39"/>
  <c r="D62" i="39"/>
  <c r="L62" i="39" s="1"/>
  <c r="N62" i="39" s="1"/>
  <c r="B62" i="39"/>
  <c r="Z61" i="39"/>
  <c r="X61" i="39"/>
  <c r="N61" i="39"/>
  <c r="L61" i="39"/>
  <c r="B61" i="39"/>
  <c r="Z60" i="39"/>
  <c r="T60" i="39"/>
  <c r="P60" i="39"/>
  <c r="X60" i="39" s="1"/>
  <c r="N60" i="39"/>
  <c r="H60" i="39"/>
  <c r="L60" i="39" s="1"/>
  <c r="D60" i="39"/>
  <c r="B60" i="39"/>
  <c r="X59" i="39"/>
  <c r="Z59" i="39" s="1"/>
  <c r="N59" i="39"/>
  <c r="L59" i="39"/>
  <c r="B59" i="39"/>
  <c r="T58" i="39"/>
  <c r="X58" i="39" s="1"/>
  <c r="Z58" i="39" s="1"/>
  <c r="P58" i="39"/>
  <c r="L58" i="39"/>
  <c r="H58" i="39"/>
  <c r="N58" i="39" s="1"/>
  <c r="D58" i="39"/>
  <c r="B58" i="39"/>
  <c r="Z57" i="39"/>
  <c r="X57" i="39"/>
  <c r="N57" i="39"/>
  <c r="L57" i="39"/>
  <c r="B57" i="39"/>
  <c r="X56" i="39"/>
  <c r="T56" i="39"/>
  <c r="Z56" i="39" s="1"/>
  <c r="P56" i="39"/>
  <c r="H56" i="39"/>
  <c r="D56" i="39"/>
  <c r="L56" i="39" s="1"/>
  <c r="B56" i="39"/>
  <c r="Z55" i="39"/>
  <c r="X55" i="39"/>
  <c r="L55" i="39"/>
  <c r="N55" i="39" s="1"/>
  <c r="B55" i="39"/>
  <c r="T54" i="39"/>
  <c r="P54" i="39"/>
  <c r="X54" i="39" s="1"/>
  <c r="H54" i="39"/>
  <c r="D54" i="39"/>
  <c r="L54" i="39" s="1"/>
  <c r="N54" i="39" s="1"/>
  <c r="B54" i="39"/>
  <c r="Z53" i="39"/>
  <c r="X53" i="39"/>
  <c r="N53" i="39"/>
  <c r="L53" i="39"/>
  <c r="B53" i="39"/>
  <c r="T52" i="39"/>
  <c r="P52" i="39"/>
  <c r="X52" i="39" s="1"/>
  <c r="Z52" i="39" s="1"/>
  <c r="H52" i="39"/>
  <c r="L52" i="39" s="1"/>
  <c r="N52" i="39" s="1"/>
  <c r="D52" i="39"/>
  <c r="B52" i="39"/>
  <c r="X51" i="39"/>
  <c r="Z51" i="39" s="1"/>
  <c r="N51" i="39"/>
  <c r="L51" i="39"/>
  <c r="B51" i="39"/>
  <c r="Z50" i="39"/>
  <c r="X50" i="39"/>
  <c r="N50" i="39"/>
  <c r="L50" i="39"/>
  <c r="B50" i="39"/>
  <c r="Z49" i="39"/>
  <c r="X49" i="39"/>
  <c r="T49" i="39"/>
  <c r="P49" i="39"/>
  <c r="L49" i="39"/>
  <c r="N49" i="39" s="1"/>
  <c r="H49" i="39"/>
  <c r="D49" i="39"/>
  <c r="B49" i="39"/>
  <c r="X48" i="39"/>
  <c r="Z48" i="39" s="1"/>
  <c r="L48" i="39"/>
  <c r="N48" i="39" s="1"/>
  <c r="B48" i="39"/>
  <c r="X47" i="39"/>
  <c r="Z47" i="39" s="1"/>
  <c r="T47" i="39"/>
  <c r="P47" i="39"/>
  <c r="H47" i="39"/>
  <c r="D47" i="39"/>
  <c r="B47" i="39"/>
  <c r="Z46" i="39"/>
  <c r="X46" i="39"/>
  <c r="N46" i="39"/>
  <c r="L46" i="39"/>
  <c r="B46" i="39"/>
  <c r="T45" i="39"/>
  <c r="Z45" i="39" s="1"/>
  <c r="P45" i="39"/>
  <c r="N45" i="39"/>
  <c r="H45" i="39"/>
  <c r="D45" i="39"/>
  <c r="L45" i="39" s="1"/>
  <c r="B45" i="39"/>
  <c r="X44" i="39"/>
  <c r="Z44" i="39" s="1"/>
  <c r="L44" i="39"/>
  <c r="N44" i="39" s="1"/>
  <c r="B44" i="39"/>
  <c r="T43" i="39"/>
  <c r="P43" i="39"/>
  <c r="X43" i="39" s="1"/>
  <c r="Z43" i="39" s="1"/>
  <c r="N43" i="39"/>
  <c r="L43" i="39"/>
  <c r="H43" i="39"/>
  <c r="D43" i="39"/>
  <c r="B43" i="39"/>
  <c r="Z42" i="39"/>
  <c r="X42" i="39"/>
  <c r="N42" i="39"/>
  <c r="L42" i="39"/>
  <c r="B42" i="39"/>
  <c r="Z41" i="39"/>
  <c r="X41" i="39"/>
  <c r="N41" i="39"/>
  <c r="L41" i="39"/>
  <c r="B41" i="39"/>
  <c r="X40" i="39"/>
  <c r="Z40" i="39" s="1"/>
  <c r="L40" i="39"/>
  <c r="N40" i="39" s="1"/>
  <c r="B40" i="39"/>
  <c r="Z39" i="39"/>
  <c r="X39" i="39"/>
  <c r="N39" i="39"/>
  <c r="L39" i="39"/>
  <c r="B39" i="39"/>
  <c r="Z38" i="39"/>
  <c r="X38" i="39"/>
  <c r="N38" i="39"/>
  <c r="L38" i="39"/>
  <c r="B38" i="39"/>
  <c r="T37" i="39"/>
  <c r="P37" i="39"/>
  <c r="H37" i="39"/>
  <c r="D37" i="39"/>
  <c r="L37" i="39" s="1"/>
  <c r="N37" i="39" s="1"/>
  <c r="B37" i="39"/>
  <c r="X36" i="39"/>
  <c r="Z36" i="39" s="1"/>
  <c r="L36" i="39"/>
  <c r="N36" i="39" s="1"/>
  <c r="B36" i="39"/>
  <c r="Z35" i="39"/>
  <c r="X35" i="39"/>
  <c r="N35" i="39"/>
  <c r="L35" i="39"/>
  <c r="B35" i="39"/>
  <c r="Z34" i="39"/>
  <c r="X34" i="39"/>
  <c r="N34" i="39"/>
  <c r="L34" i="39"/>
  <c r="B34" i="39"/>
  <c r="Z33" i="39"/>
  <c r="X33" i="39"/>
  <c r="L33" i="39"/>
  <c r="N33" i="39" s="1"/>
  <c r="B33" i="39"/>
  <c r="X32" i="39"/>
  <c r="Z32" i="39" s="1"/>
  <c r="L32" i="39"/>
  <c r="N32" i="39" s="1"/>
  <c r="B32" i="39"/>
  <c r="X31" i="39"/>
  <c r="Z31" i="39" s="1"/>
  <c r="N31" i="39"/>
  <c r="L31" i="39"/>
  <c r="B31" i="39"/>
  <c r="Z30" i="39"/>
  <c r="X30" i="39"/>
  <c r="N30" i="39"/>
  <c r="L30" i="39"/>
  <c r="B30" i="39"/>
  <c r="X29" i="39"/>
  <c r="Z29" i="39" s="1"/>
  <c r="N29" i="39"/>
  <c r="L29" i="39"/>
  <c r="B29" i="39"/>
  <c r="T28" i="39"/>
  <c r="P28" i="39"/>
  <c r="X28" i="39" s="1"/>
  <c r="Z28" i="39" s="1"/>
  <c r="H28" i="39"/>
  <c r="L28" i="39" s="1"/>
  <c r="N28" i="39" s="1"/>
  <c r="D28" i="39"/>
  <c r="B28" i="39"/>
  <c r="X27" i="39"/>
  <c r="Z27" i="39" s="1"/>
  <c r="T27" i="39"/>
  <c r="P27" i="39"/>
  <c r="H27" i="39"/>
  <c r="D27" i="39"/>
  <c r="Z23" i="39"/>
  <c r="X23" i="39"/>
  <c r="N23" i="39"/>
  <c r="L23" i="39"/>
  <c r="B23" i="39"/>
  <c r="Z22" i="39"/>
  <c r="X22" i="39"/>
  <c r="N22" i="39"/>
  <c r="L22" i="39"/>
  <c r="B22" i="39"/>
  <c r="T21" i="39"/>
  <c r="P21" i="39"/>
  <c r="L21" i="39"/>
  <c r="H21" i="39"/>
  <c r="N21" i="39" s="1"/>
  <c r="D21" i="39"/>
  <c r="T19" i="39"/>
  <c r="Z19" i="39" s="1"/>
  <c r="P19" i="39"/>
  <c r="X19" i="39" s="1"/>
  <c r="L19" i="39"/>
  <c r="H19" i="39"/>
  <c r="N19" i="39" s="1"/>
  <c r="D19" i="39"/>
  <c r="B19" i="39"/>
  <c r="X18" i="39"/>
  <c r="T18" i="39"/>
  <c r="Z18" i="39" s="1"/>
  <c r="P18" i="39"/>
  <c r="H18" i="39"/>
  <c r="L18" i="39" s="1"/>
  <c r="D18" i="39"/>
  <c r="B18" i="39"/>
  <c r="Z17" i="39"/>
  <c r="X17" i="39"/>
  <c r="T17" i="39"/>
  <c r="P17" i="39"/>
  <c r="N17" i="39"/>
  <c r="L17" i="39"/>
  <c r="H17" i="39"/>
  <c r="D17" i="39"/>
  <c r="B17" i="39"/>
  <c r="Z16" i="39"/>
  <c r="T16" i="39"/>
  <c r="P16" i="39"/>
  <c r="X16" i="39" s="1"/>
  <c r="N16" i="39"/>
  <c r="H16" i="39"/>
  <c r="D16" i="39"/>
  <c r="L16" i="39" s="1"/>
  <c r="B16" i="39"/>
  <c r="X15" i="39"/>
  <c r="T15" i="39"/>
  <c r="P15" i="39"/>
  <c r="H15" i="39"/>
  <c r="D15" i="39"/>
  <c r="L15" i="39" s="1"/>
  <c r="B15" i="39"/>
  <c r="T14" i="39"/>
  <c r="T12" i="39" s="1"/>
  <c r="V72" i="39" s="1"/>
  <c r="P14" i="39"/>
  <c r="H14" i="39"/>
  <c r="N14" i="39" s="1"/>
  <c r="D14" i="39"/>
  <c r="L14" i="39" s="1"/>
  <c r="B14" i="39"/>
  <c r="Z13" i="39"/>
  <c r="X13" i="39"/>
  <c r="T13" i="39"/>
  <c r="P13" i="39"/>
  <c r="H13" i="39"/>
  <c r="N13" i="39" s="1"/>
  <c r="D13" i="39"/>
  <c r="L13" i="39" s="1"/>
  <c r="B13" i="39"/>
  <c r="P12" i="39"/>
  <c r="R62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P12" i="38"/>
  <c r="H12" i="38"/>
  <c r="J21" i="38" s="1"/>
  <c r="D12" i="38"/>
  <c r="F34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0" i="37" s="1"/>
  <c r="P12" i="37"/>
  <c r="R22" i="37" s="1"/>
  <c r="H12" i="37"/>
  <c r="J24" i="37" s="1"/>
  <c r="D12" i="37"/>
  <c r="F20" i="37" s="1"/>
  <c r="D5" i="37"/>
  <c r="D4" i="37"/>
  <c r="X94" i="36"/>
  <c r="Z94" i="36" s="1"/>
  <c r="N94" i="36"/>
  <c r="L94" i="36"/>
  <c r="T90" i="36"/>
  <c r="P90" i="36"/>
  <c r="X90" i="36" s="1"/>
  <c r="Z90" i="36" s="1"/>
  <c r="H90" i="36"/>
  <c r="D90" i="36"/>
  <c r="L90" i="36" s="1"/>
  <c r="B90" i="36"/>
  <c r="T89" i="36"/>
  <c r="Z89" i="36" s="1"/>
  <c r="P89" i="36"/>
  <c r="X89" i="36" s="1"/>
  <c r="H89" i="36"/>
  <c r="D89" i="36"/>
  <c r="L89" i="36" s="1"/>
  <c r="N89" i="36" s="1"/>
  <c r="B89" i="36"/>
  <c r="T88" i="36"/>
  <c r="P88" i="36"/>
  <c r="N88" i="36"/>
  <c r="L88" i="36"/>
  <c r="H88" i="36"/>
  <c r="D88" i="36"/>
  <c r="D87" i="36" s="1"/>
  <c r="L87" i="36" s="1"/>
  <c r="B88" i="36"/>
  <c r="P87" i="36"/>
  <c r="H87" i="36"/>
  <c r="X85" i="36"/>
  <c r="Z85" i="36" s="1"/>
  <c r="L85" i="36"/>
  <c r="N85" i="36" s="1"/>
  <c r="B85" i="36"/>
  <c r="T84" i="36"/>
  <c r="P84" i="36"/>
  <c r="X84" i="36" s="1"/>
  <c r="Z84" i="36" s="1"/>
  <c r="L84" i="36"/>
  <c r="H84" i="36"/>
  <c r="N84" i="36" s="1"/>
  <c r="D84" i="36"/>
  <c r="B84" i="36"/>
  <c r="Z83" i="36"/>
  <c r="X83" i="36"/>
  <c r="N83" i="36"/>
  <c r="L83" i="36"/>
  <c r="B83" i="36"/>
  <c r="T82" i="36"/>
  <c r="P82" i="36"/>
  <c r="N82" i="36"/>
  <c r="L82" i="36"/>
  <c r="H82" i="36"/>
  <c r="D82" i="36"/>
  <c r="B82" i="36"/>
  <c r="X81" i="36"/>
  <c r="Z81" i="36" s="1"/>
  <c r="L81" i="36"/>
  <c r="N81" i="36" s="1"/>
  <c r="B81" i="36"/>
  <c r="Z80" i="36"/>
  <c r="X80" i="36"/>
  <c r="T80" i="36"/>
  <c r="P80" i="36"/>
  <c r="H80" i="36"/>
  <c r="D80" i="36"/>
  <c r="L80" i="36" s="1"/>
  <c r="B80" i="36"/>
  <c r="Z79" i="36"/>
  <c r="X79" i="36"/>
  <c r="N79" i="36"/>
  <c r="L79" i="36"/>
  <c r="B79" i="36"/>
  <c r="X78" i="36"/>
  <c r="Z78" i="36" s="1"/>
  <c r="L78" i="36"/>
  <c r="N78" i="36" s="1"/>
  <c r="B78" i="36"/>
  <c r="X77" i="36"/>
  <c r="Z77" i="36" s="1"/>
  <c r="L77" i="36"/>
  <c r="N77" i="36" s="1"/>
  <c r="B77" i="36"/>
  <c r="Z76" i="36"/>
  <c r="X76" i="36"/>
  <c r="N76" i="36"/>
  <c r="L76" i="36"/>
  <c r="B76" i="36"/>
  <c r="Z75" i="36"/>
  <c r="X75" i="36"/>
  <c r="N75" i="36"/>
  <c r="L75" i="36"/>
  <c r="B75" i="36"/>
  <c r="T74" i="36"/>
  <c r="P74" i="36"/>
  <c r="N74" i="36"/>
  <c r="L74" i="36"/>
  <c r="H74" i="36"/>
  <c r="D74" i="36"/>
  <c r="B74" i="36"/>
  <c r="X73" i="36"/>
  <c r="Z73" i="36" s="1"/>
  <c r="L73" i="36"/>
  <c r="N73" i="36" s="1"/>
  <c r="B73" i="36"/>
  <c r="Z72" i="36"/>
  <c r="X72" i="36"/>
  <c r="T72" i="36"/>
  <c r="P72" i="36"/>
  <c r="H72" i="36"/>
  <c r="N72" i="36" s="1"/>
  <c r="D72" i="36"/>
  <c r="L72" i="36" s="1"/>
  <c r="B72" i="36"/>
  <c r="Z71" i="36"/>
  <c r="X71" i="36"/>
  <c r="N71" i="36"/>
  <c r="L71" i="36"/>
  <c r="B71" i="36"/>
  <c r="X70" i="36"/>
  <c r="Z70" i="36" s="1"/>
  <c r="L70" i="36"/>
  <c r="N70" i="36" s="1"/>
  <c r="B70" i="36"/>
  <c r="X69" i="36"/>
  <c r="Z69" i="36" s="1"/>
  <c r="L69" i="36"/>
  <c r="N69" i="36" s="1"/>
  <c r="B69" i="36"/>
  <c r="Z68" i="36"/>
  <c r="X68" i="36"/>
  <c r="L68" i="36"/>
  <c r="N68" i="36" s="1"/>
  <c r="B68" i="36"/>
  <c r="T67" i="36"/>
  <c r="P67" i="36"/>
  <c r="X67" i="36" s="1"/>
  <c r="Z67" i="36" s="1"/>
  <c r="L67" i="36"/>
  <c r="N67" i="36" s="1"/>
  <c r="H67" i="36"/>
  <c r="D67" i="36"/>
  <c r="B67" i="36"/>
  <c r="X66" i="36"/>
  <c r="Z66" i="36" s="1"/>
  <c r="L66" i="36"/>
  <c r="N66" i="36" s="1"/>
  <c r="B66" i="36"/>
  <c r="X65" i="36"/>
  <c r="Z65" i="36" s="1"/>
  <c r="L65" i="36"/>
  <c r="N65" i="36" s="1"/>
  <c r="B65" i="36"/>
  <c r="Z64" i="36"/>
  <c r="X64" i="36"/>
  <c r="N64" i="36"/>
  <c r="L64" i="36"/>
  <c r="B64" i="36"/>
  <c r="T63" i="36"/>
  <c r="Z63" i="36" s="1"/>
  <c r="P63" i="36"/>
  <c r="X63" i="36" s="1"/>
  <c r="L63" i="36"/>
  <c r="N63" i="36" s="1"/>
  <c r="H63" i="36"/>
  <c r="D63" i="36"/>
  <c r="B63" i="36"/>
  <c r="Z62" i="36"/>
  <c r="X62" i="36"/>
  <c r="N62" i="36"/>
  <c r="L62" i="36"/>
  <c r="B62" i="36"/>
  <c r="Z61" i="36"/>
  <c r="X61" i="36"/>
  <c r="T61" i="36"/>
  <c r="P61" i="36"/>
  <c r="H61" i="36"/>
  <c r="N61" i="36" s="1"/>
  <c r="D61" i="36"/>
  <c r="B61" i="36"/>
  <c r="X60" i="36"/>
  <c r="Z60" i="36" s="1"/>
  <c r="N60" i="36"/>
  <c r="L60" i="36"/>
  <c r="B60" i="36"/>
  <c r="T59" i="36"/>
  <c r="P59" i="36"/>
  <c r="H59" i="36"/>
  <c r="D59" i="36"/>
  <c r="L59" i="36" s="1"/>
  <c r="N59" i="36" s="1"/>
  <c r="B59" i="36"/>
  <c r="X58" i="36"/>
  <c r="Z58" i="36" s="1"/>
  <c r="L58" i="36"/>
  <c r="N58" i="36" s="1"/>
  <c r="B58" i="36"/>
  <c r="T57" i="36"/>
  <c r="P57" i="36"/>
  <c r="X57" i="36" s="1"/>
  <c r="Z57" i="36" s="1"/>
  <c r="H57" i="36"/>
  <c r="D57" i="36"/>
  <c r="L57" i="36" s="1"/>
  <c r="B57" i="36"/>
  <c r="Z56" i="36"/>
  <c r="X56" i="36"/>
  <c r="N56" i="36"/>
  <c r="L56" i="36"/>
  <c r="B56" i="36"/>
  <c r="T55" i="36"/>
  <c r="P55" i="36"/>
  <c r="X55" i="36" s="1"/>
  <c r="L55" i="36"/>
  <c r="N55" i="36" s="1"/>
  <c r="H55" i="36"/>
  <c r="D55" i="36"/>
  <c r="B55" i="36"/>
  <c r="X54" i="36"/>
  <c r="Z54" i="36" s="1"/>
  <c r="L54" i="36"/>
  <c r="N54" i="36" s="1"/>
  <c r="B54" i="36"/>
  <c r="X53" i="36"/>
  <c r="Z53" i="36" s="1"/>
  <c r="T53" i="36"/>
  <c r="P53" i="36"/>
  <c r="H53" i="36"/>
  <c r="D53" i="36"/>
  <c r="B53" i="36"/>
  <c r="X52" i="36"/>
  <c r="Z52" i="36" s="1"/>
  <c r="N52" i="36"/>
  <c r="L52" i="36"/>
  <c r="B52" i="36"/>
  <c r="T51" i="36"/>
  <c r="P51" i="36"/>
  <c r="H51" i="36"/>
  <c r="D51" i="36"/>
  <c r="L51" i="36" s="1"/>
  <c r="N51" i="36" s="1"/>
  <c r="B51" i="36"/>
  <c r="X50" i="36"/>
  <c r="Z50" i="36" s="1"/>
  <c r="L50" i="36"/>
  <c r="N50" i="36" s="1"/>
  <c r="B50" i="36"/>
  <c r="X49" i="36"/>
  <c r="Z49" i="36" s="1"/>
  <c r="L49" i="36"/>
  <c r="N49" i="36" s="1"/>
  <c r="B49" i="36"/>
  <c r="Z48" i="36"/>
  <c r="X48" i="36"/>
  <c r="T48" i="36"/>
  <c r="P48" i="36"/>
  <c r="H48" i="36"/>
  <c r="D48" i="36"/>
  <c r="B48" i="36"/>
  <c r="Z47" i="36"/>
  <c r="X47" i="36"/>
  <c r="N47" i="36"/>
  <c r="L47" i="36"/>
  <c r="B47" i="36"/>
  <c r="T46" i="36"/>
  <c r="P46" i="36"/>
  <c r="H46" i="36"/>
  <c r="D46" i="36"/>
  <c r="L46" i="36" s="1"/>
  <c r="N46" i="36" s="1"/>
  <c r="B46" i="36"/>
  <c r="Z45" i="36"/>
  <c r="X45" i="36"/>
  <c r="N45" i="36"/>
  <c r="L45" i="36"/>
  <c r="B45" i="36"/>
  <c r="Z44" i="36"/>
  <c r="T44" i="36"/>
  <c r="P44" i="36"/>
  <c r="X44" i="36" s="1"/>
  <c r="H44" i="36"/>
  <c r="N44" i="36" s="1"/>
  <c r="D44" i="36"/>
  <c r="L44" i="36" s="1"/>
  <c r="B44" i="36"/>
  <c r="Z43" i="36"/>
  <c r="X43" i="36"/>
  <c r="N43" i="36"/>
  <c r="L43" i="36"/>
  <c r="B43" i="36"/>
  <c r="T42" i="36"/>
  <c r="P42" i="36"/>
  <c r="X42" i="36" s="1"/>
  <c r="L42" i="36"/>
  <c r="N42" i="36" s="1"/>
  <c r="H42" i="36"/>
  <c r="D42" i="36"/>
  <c r="B42" i="36"/>
  <c r="X41" i="36"/>
  <c r="Z41" i="36" s="1"/>
  <c r="L41" i="36"/>
  <c r="N41" i="36" s="1"/>
  <c r="B41" i="36"/>
  <c r="Z40" i="36"/>
  <c r="X40" i="36"/>
  <c r="N40" i="36"/>
  <c r="L40" i="36"/>
  <c r="B40" i="36"/>
  <c r="Z39" i="36"/>
  <c r="X39" i="36"/>
  <c r="N39" i="36"/>
  <c r="L39" i="36"/>
  <c r="B39" i="36"/>
  <c r="X38" i="36"/>
  <c r="Z38" i="36" s="1"/>
  <c r="L38" i="36"/>
  <c r="N38" i="36" s="1"/>
  <c r="B38" i="36"/>
  <c r="X37" i="36"/>
  <c r="Z37" i="36" s="1"/>
  <c r="L37" i="36"/>
  <c r="N37" i="36" s="1"/>
  <c r="B37" i="36"/>
  <c r="T36" i="36"/>
  <c r="P36" i="36"/>
  <c r="X36" i="36" s="1"/>
  <c r="Z36" i="36" s="1"/>
  <c r="H36" i="36"/>
  <c r="D36" i="36"/>
  <c r="L36" i="36" s="1"/>
  <c r="B36" i="36"/>
  <c r="Z35" i="36"/>
  <c r="X35" i="36"/>
  <c r="N35" i="36"/>
  <c r="L35" i="36"/>
  <c r="B35" i="36"/>
  <c r="X34" i="36"/>
  <c r="Z34" i="36" s="1"/>
  <c r="L34" i="36"/>
  <c r="N34" i="36" s="1"/>
  <c r="B34" i="36"/>
  <c r="X33" i="36"/>
  <c r="Z33" i="36" s="1"/>
  <c r="L33" i="36"/>
  <c r="N33" i="36" s="1"/>
  <c r="B33" i="36"/>
  <c r="Z32" i="36"/>
  <c r="X32" i="36"/>
  <c r="L32" i="36"/>
  <c r="N32" i="36" s="1"/>
  <c r="B32" i="36"/>
  <c r="Z31" i="36"/>
  <c r="X31" i="36"/>
  <c r="N31" i="36"/>
  <c r="L31" i="36"/>
  <c r="B31" i="36"/>
  <c r="X30" i="36"/>
  <c r="Z30" i="36" s="1"/>
  <c r="L30" i="36"/>
  <c r="N30" i="36" s="1"/>
  <c r="B30" i="36"/>
  <c r="X29" i="36"/>
  <c r="Z29" i="36" s="1"/>
  <c r="L29" i="36"/>
  <c r="N29" i="36" s="1"/>
  <c r="B29" i="36"/>
  <c r="X28" i="36"/>
  <c r="Z28" i="36" s="1"/>
  <c r="N28" i="36"/>
  <c r="L28" i="36"/>
  <c r="B28" i="36"/>
  <c r="Z27" i="36"/>
  <c r="X27" i="36"/>
  <c r="N27" i="36"/>
  <c r="L27" i="36"/>
  <c r="B27" i="36"/>
  <c r="T26" i="36"/>
  <c r="P26" i="36"/>
  <c r="X26" i="36" s="1"/>
  <c r="L26" i="36"/>
  <c r="N26" i="36" s="1"/>
  <c r="H26" i="36"/>
  <c r="D26" i="36"/>
  <c r="B26" i="36"/>
  <c r="T25" i="36"/>
  <c r="P25" i="36"/>
  <c r="X25" i="36" s="1"/>
  <c r="Z25" i="36" s="1"/>
  <c r="H25" i="36"/>
  <c r="D25" i="36"/>
  <c r="L25" i="36" s="1"/>
  <c r="X21" i="36"/>
  <c r="Z21" i="36" s="1"/>
  <c r="L21" i="36"/>
  <c r="N21" i="36" s="1"/>
  <c r="B21" i="36"/>
  <c r="Z20" i="36"/>
  <c r="X20" i="36"/>
  <c r="N20" i="36"/>
  <c r="L20" i="36"/>
  <c r="B20" i="36"/>
  <c r="T19" i="36"/>
  <c r="P19" i="36"/>
  <c r="H19" i="36"/>
  <c r="D19" i="36"/>
  <c r="L19" i="36" s="1"/>
  <c r="N19" i="36" s="1"/>
  <c r="T17" i="36"/>
  <c r="P17" i="36"/>
  <c r="X17" i="36" s="1"/>
  <c r="H17" i="36"/>
  <c r="D17" i="36"/>
  <c r="L17" i="36" s="1"/>
  <c r="N17" i="36" s="1"/>
  <c r="B17" i="36"/>
  <c r="T16" i="36"/>
  <c r="Z16" i="36" s="1"/>
  <c r="P16" i="36"/>
  <c r="X16" i="36" s="1"/>
  <c r="H16" i="36"/>
  <c r="H12" i="36" s="1"/>
  <c r="D16" i="36"/>
  <c r="L16" i="36" s="1"/>
  <c r="B16" i="36"/>
  <c r="X15" i="36"/>
  <c r="T15" i="36"/>
  <c r="Z15" i="36" s="1"/>
  <c r="P15" i="36"/>
  <c r="L15" i="36"/>
  <c r="H15" i="36"/>
  <c r="N15" i="36" s="1"/>
  <c r="D15" i="36"/>
  <c r="B15" i="36"/>
  <c r="Z14" i="36"/>
  <c r="X14" i="36"/>
  <c r="T14" i="36"/>
  <c r="P14" i="36"/>
  <c r="H14" i="36"/>
  <c r="D14" i="36"/>
  <c r="L14" i="36" s="1"/>
  <c r="N14" i="36" s="1"/>
  <c r="B14" i="36"/>
  <c r="Z13" i="36"/>
  <c r="T13" i="36"/>
  <c r="P13" i="36"/>
  <c r="X13" i="36" s="1"/>
  <c r="H13" i="36"/>
  <c r="N13" i="36" s="1"/>
  <c r="D13" i="36"/>
  <c r="L13" i="36" s="1"/>
  <c r="B13" i="36"/>
  <c r="T12" i="36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18" i="35" s="1"/>
  <c r="P12" i="35"/>
  <c r="R24" i="35" s="1"/>
  <c r="H12" i="35"/>
  <c r="J22" i="35" s="1"/>
  <c r="D12" i="35"/>
  <c r="F18" i="35" s="1"/>
  <c r="D5" i="35"/>
  <c r="D4" i="35"/>
  <c r="B39" i="34"/>
  <c r="B38" i="34"/>
  <c r="T34" i="34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21" i="34" s="1"/>
  <c r="P12" i="34"/>
  <c r="R34" i="34" s="1"/>
  <c r="H12" i="34"/>
  <c r="J36" i="34" s="1"/>
  <c r="D12" i="34"/>
  <c r="F21" i="34" s="1"/>
  <c r="D5" i="34"/>
  <c r="D4" i="34"/>
  <c r="Z67" i="33"/>
  <c r="X67" i="33"/>
  <c r="N67" i="33"/>
  <c r="L67" i="33"/>
  <c r="T63" i="33"/>
  <c r="Z63" i="33" s="1"/>
  <c r="P63" i="33"/>
  <c r="X63" i="33" s="1"/>
  <c r="N63" i="33"/>
  <c r="H63" i="33"/>
  <c r="D63" i="33"/>
  <c r="L63" i="33" s="1"/>
  <c r="B63" i="33"/>
  <c r="T62" i="33"/>
  <c r="Z62" i="33" s="1"/>
  <c r="P62" i="33"/>
  <c r="X62" i="33" s="1"/>
  <c r="H62" i="33"/>
  <c r="D62" i="33"/>
  <c r="D61" i="33" s="1"/>
  <c r="L61" i="33" s="1"/>
  <c r="B62" i="33"/>
  <c r="P61" i="33"/>
  <c r="H61" i="33"/>
  <c r="X59" i="33"/>
  <c r="Z59" i="33" s="1"/>
  <c r="L59" i="33"/>
  <c r="N59" i="33" s="1"/>
  <c r="B59" i="33"/>
  <c r="Z58" i="33"/>
  <c r="X58" i="33"/>
  <c r="T58" i="33"/>
  <c r="P58" i="33"/>
  <c r="H58" i="33"/>
  <c r="D58" i="33"/>
  <c r="B58" i="33"/>
  <c r="Z57" i="33"/>
  <c r="X57" i="33"/>
  <c r="N57" i="33"/>
  <c r="L57" i="33"/>
  <c r="B57" i="33"/>
  <c r="X56" i="33"/>
  <c r="Z56" i="33" s="1"/>
  <c r="L56" i="33"/>
  <c r="N56" i="33" s="1"/>
  <c r="B56" i="33"/>
  <c r="X55" i="33"/>
  <c r="Z55" i="33" s="1"/>
  <c r="L55" i="33"/>
  <c r="N55" i="33" s="1"/>
  <c r="B55" i="33"/>
  <c r="Z54" i="33"/>
  <c r="X54" i="33"/>
  <c r="N54" i="33"/>
  <c r="L54" i="33"/>
  <c r="B54" i="33"/>
  <c r="Z53" i="33"/>
  <c r="X53" i="33"/>
  <c r="N53" i="33"/>
  <c r="L53" i="33"/>
  <c r="B53" i="33"/>
  <c r="T52" i="33"/>
  <c r="P52" i="33"/>
  <c r="X52" i="33" s="1"/>
  <c r="N52" i="33"/>
  <c r="L52" i="33"/>
  <c r="H52" i="33"/>
  <c r="D52" i="33"/>
  <c r="B52" i="33"/>
  <c r="X51" i="33"/>
  <c r="Z51" i="33" s="1"/>
  <c r="L51" i="33"/>
  <c r="N51" i="33" s="1"/>
  <c r="B51" i="33"/>
  <c r="Z50" i="33"/>
  <c r="X50" i="33"/>
  <c r="T50" i="33"/>
  <c r="P50" i="33"/>
  <c r="H50" i="33"/>
  <c r="D50" i="33"/>
  <c r="B50" i="33"/>
  <c r="Z49" i="33"/>
  <c r="X49" i="33"/>
  <c r="N49" i="33"/>
  <c r="L49" i="33"/>
  <c r="B49" i="33"/>
  <c r="X48" i="33"/>
  <c r="Z48" i="33" s="1"/>
  <c r="L48" i="33"/>
  <c r="N48" i="33" s="1"/>
  <c r="B48" i="33"/>
  <c r="T47" i="33"/>
  <c r="P47" i="33"/>
  <c r="X47" i="33" s="1"/>
  <c r="Z47" i="33" s="1"/>
  <c r="H47" i="33"/>
  <c r="L47" i="33" s="1"/>
  <c r="D47" i="33"/>
  <c r="B47" i="33"/>
  <c r="Z46" i="33"/>
  <c r="X46" i="33"/>
  <c r="N46" i="33"/>
  <c r="L46" i="33"/>
  <c r="B46" i="33"/>
  <c r="Z45" i="33"/>
  <c r="X45" i="33"/>
  <c r="N45" i="33"/>
  <c r="L45" i="33"/>
  <c r="B45" i="33"/>
  <c r="T44" i="33"/>
  <c r="Z44" i="33" s="1"/>
  <c r="P44" i="33"/>
  <c r="X44" i="33" s="1"/>
  <c r="H44" i="33"/>
  <c r="D44" i="33"/>
  <c r="L44" i="33" s="1"/>
  <c r="N44" i="33" s="1"/>
  <c r="B44" i="33"/>
  <c r="X43" i="33"/>
  <c r="Z43" i="33" s="1"/>
  <c r="L43" i="33"/>
  <c r="N43" i="33" s="1"/>
  <c r="B43" i="33"/>
  <c r="T42" i="33"/>
  <c r="P42" i="33"/>
  <c r="X42" i="33" s="1"/>
  <c r="Z42" i="33" s="1"/>
  <c r="H42" i="33"/>
  <c r="D42" i="33"/>
  <c r="B42" i="33"/>
  <c r="Z41" i="33"/>
  <c r="X41" i="33"/>
  <c r="N41" i="33"/>
  <c r="L41" i="33"/>
  <c r="B41" i="33"/>
  <c r="T40" i="33"/>
  <c r="P40" i="33"/>
  <c r="X40" i="33" s="1"/>
  <c r="N40" i="33"/>
  <c r="L40" i="33"/>
  <c r="H40" i="33"/>
  <c r="D40" i="33"/>
  <c r="B40" i="33"/>
  <c r="Z39" i="33"/>
  <c r="X39" i="33"/>
  <c r="N39" i="33"/>
  <c r="L39" i="33"/>
  <c r="B39" i="33"/>
  <c r="Z38" i="33"/>
  <c r="X38" i="33"/>
  <c r="N38" i="33"/>
  <c r="L38" i="33"/>
  <c r="B38" i="33"/>
  <c r="T37" i="33"/>
  <c r="P37" i="33"/>
  <c r="X37" i="33" s="1"/>
  <c r="H37" i="33"/>
  <c r="D37" i="33"/>
  <c r="L37" i="33" s="1"/>
  <c r="N37" i="33" s="1"/>
  <c r="B37" i="33"/>
  <c r="X36" i="33"/>
  <c r="Z36" i="33" s="1"/>
  <c r="L36" i="33"/>
  <c r="N36" i="33" s="1"/>
  <c r="B36" i="33"/>
  <c r="X35" i="33"/>
  <c r="Z35" i="33" s="1"/>
  <c r="L35" i="33"/>
  <c r="N35" i="33" s="1"/>
  <c r="B35" i="33"/>
  <c r="Z34" i="33"/>
  <c r="X34" i="33"/>
  <c r="N34" i="33"/>
  <c r="L34" i="33"/>
  <c r="B34" i="33"/>
  <c r="Z33" i="33"/>
  <c r="X33" i="33"/>
  <c r="N33" i="33"/>
  <c r="L33" i="33"/>
  <c r="B33" i="33"/>
  <c r="X32" i="33"/>
  <c r="Z32" i="33" s="1"/>
  <c r="L32" i="33"/>
  <c r="N32" i="33" s="1"/>
  <c r="B32" i="33"/>
  <c r="X31" i="33"/>
  <c r="Z31" i="33" s="1"/>
  <c r="L31" i="33"/>
  <c r="N31" i="33" s="1"/>
  <c r="B31" i="33"/>
  <c r="Z30" i="33"/>
  <c r="X30" i="33"/>
  <c r="L30" i="33"/>
  <c r="N30" i="33" s="1"/>
  <c r="B30" i="33"/>
  <c r="Z29" i="33"/>
  <c r="X29" i="33"/>
  <c r="N29" i="33"/>
  <c r="L29" i="33"/>
  <c r="B29" i="33"/>
  <c r="T28" i="33"/>
  <c r="P28" i="33"/>
  <c r="N28" i="33"/>
  <c r="H28" i="33"/>
  <c r="D28" i="33"/>
  <c r="L28" i="33" s="1"/>
  <c r="B28" i="33"/>
  <c r="T27" i="33"/>
  <c r="P27" i="33"/>
  <c r="X27" i="33" s="1"/>
  <c r="Z27" i="33" s="1"/>
  <c r="H27" i="33"/>
  <c r="D27" i="33"/>
  <c r="Z23" i="33"/>
  <c r="X23" i="33"/>
  <c r="N23" i="33"/>
  <c r="L23" i="33"/>
  <c r="B23" i="33"/>
  <c r="Z22" i="33"/>
  <c r="X22" i="33"/>
  <c r="N22" i="33"/>
  <c r="L22" i="33"/>
  <c r="B22" i="33"/>
  <c r="X21" i="33"/>
  <c r="T21" i="33"/>
  <c r="Z21" i="33" s="1"/>
  <c r="P21" i="33"/>
  <c r="H21" i="33"/>
  <c r="N21" i="33" s="1"/>
  <c r="D21" i="33"/>
  <c r="T19" i="33"/>
  <c r="P19" i="33"/>
  <c r="X19" i="33" s="1"/>
  <c r="Z19" i="33" s="1"/>
  <c r="H19" i="33"/>
  <c r="D19" i="33"/>
  <c r="L19" i="33" s="1"/>
  <c r="B19" i="33"/>
  <c r="T18" i="33"/>
  <c r="Z18" i="33" s="1"/>
  <c r="P18" i="33"/>
  <c r="X18" i="33" s="1"/>
  <c r="H18" i="33"/>
  <c r="N18" i="33" s="1"/>
  <c r="D18" i="33"/>
  <c r="L18" i="33" s="1"/>
  <c r="B18" i="33"/>
  <c r="T17" i="33"/>
  <c r="P17" i="33"/>
  <c r="X17" i="33" s="1"/>
  <c r="L17" i="33"/>
  <c r="H17" i="33"/>
  <c r="D17" i="33"/>
  <c r="B17" i="33"/>
  <c r="X16" i="33"/>
  <c r="T16" i="33"/>
  <c r="Z16" i="33" s="1"/>
  <c r="P16" i="33"/>
  <c r="N16" i="33"/>
  <c r="H16" i="33"/>
  <c r="D16" i="33"/>
  <c r="L16" i="33" s="1"/>
  <c r="B16" i="33"/>
  <c r="T15" i="33"/>
  <c r="P15" i="33"/>
  <c r="X15" i="33" s="1"/>
  <c r="Z15" i="33" s="1"/>
  <c r="L15" i="33"/>
  <c r="H15" i="33"/>
  <c r="N15" i="33" s="1"/>
  <c r="D15" i="33"/>
  <c r="B15" i="33"/>
  <c r="T14" i="33"/>
  <c r="P14" i="33"/>
  <c r="X14" i="33" s="1"/>
  <c r="H14" i="33"/>
  <c r="D14" i="33"/>
  <c r="L14" i="33" s="1"/>
  <c r="N14" i="33" s="1"/>
  <c r="B14" i="33"/>
  <c r="X13" i="33"/>
  <c r="T13" i="33"/>
  <c r="Z13" i="33" s="1"/>
  <c r="P13" i="33"/>
  <c r="H13" i="33"/>
  <c r="N13" i="33" s="1"/>
  <c r="D13" i="33"/>
  <c r="L13" i="33" s="1"/>
  <c r="B13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34" i="32" s="1"/>
  <c r="P12" i="32"/>
  <c r="H12" i="32"/>
  <c r="J21" i="32" s="1"/>
  <c r="D12" i="32"/>
  <c r="F34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D33" i="31"/>
  <c r="T29" i="31"/>
  <c r="Z29" i="31" s="1"/>
  <c r="P29" i="31"/>
  <c r="H29" i="31"/>
  <c r="N29" i="31" s="1"/>
  <c r="D29" i="31"/>
  <c r="T25" i="31"/>
  <c r="Z25" i="31" s="1"/>
  <c r="P25" i="31"/>
  <c r="H25" i="3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20" i="31" s="1"/>
  <c r="P12" i="31"/>
  <c r="R22" i="31" s="1"/>
  <c r="H12" i="31"/>
  <c r="D12" i="31"/>
  <c r="D5" i="31"/>
  <c r="D4" i="31"/>
  <c r="X132" i="30"/>
  <c r="Z132" i="30" s="1"/>
  <c r="L132" i="30"/>
  <c r="N132" i="30" s="1"/>
  <c r="X128" i="30"/>
  <c r="T128" i="30"/>
  <c r="T126" i="30" s="1"/>
  <c r="P128" i="30"/>
  <c r="H128" i="30"/>
  <c r="D128" i="30"/>
  <c r="D126" i="30" s="1"/>
  <c r="B128" i="30"/>
  <c r="X127" i="30"/>
  <c r="Z127" i="30" s="1"/>
  <c r="T127" i="30"/>
  <c r="P127" i="30"/>
  <c r="H127" i="30"/>
  <c r="L127" i="30" s="1"/>
  <c r="N127" i="30" s="1"/>
  <c r="D127" i="30"/>
  <c r="B127" i="30"/>
  <c r="P126" i="30"/>
  <c r="Z124" i="30"/>
  <c r="X124" i="30"/>
  <c r="L124" i="30"/>
  <c r="N124" i="30" s="1"/>
  <c r="B124" i="30"/>
  <c r="T123" i="30"/>
  <c r="P123" i="30"/>
  <c r="X123" i="30" s="1"/>
  <c r="Z123" i="30" s="1"/>
  <c r="L123" i="30"/>
  <c r="N123" i="30" s="1"/>
  <c r="H123" i="30"/>
  <c r="D123" i="30"/>
  <c r="B123" i="30"/>
  <c r="Z122" i="30"/>
  <c r="X122" i="30"/>
  <c r="L122" i="30"/>
  <c r="N122" i="30" s="1"/>
  <c r="B122" i="30"/>
  <c r="X121" i="30"/>
  <c r="Z121" i="30" s="1"/>
  <c r="T121" i="30"/>
  <c r="P121" i="30"/>
  <c r="H121" i="30"/>
  <c r="L121" i="30" s="1"/>
  <c r="N121" i="30" s="1"/>
  <c r="D121" i="30"/>
  <c r="B121" i="30"/>
  <c r="X120" i="30"/>
  <c r="Z120" i="30" s="1"/>
  <c r="N120" i="30"/>
  <c r="L120" i="30"/>
  <c r="B120" i="30"/>
  <c r="T119" i="30"/>
  <c r="X119" i="30" s="1"/>
  <c r="Z119" i="30" s="1"/>
  <c r="P119" i="30"/>
  <c r="N119" i="30"/>
  <c r="H119" i="30"/>
  <c r="D119" i="30"/>
  <c r="L119" i="30" s="1"/>
  <c r="B119" i="30"/>
  <c r="Z118" i="30"/>
  <c r="X118" i="30"/>
  <c r="N118" i="30"/>
  <c r="L118" i="30"/>
  <c r="B118" i="30"/>
  <c r="Z117" i="30"/>
  <c r="X117" i="30"/>
  <c r="L117" i="30"/>
  <c r="N117" i="30" s="1"/>
  <c r="B117" i="30"/>
  <c r="X116" i="30"/>
  <c r="Z116" i="30" s="1"/>
  <c r="N116" i="30"/>
  <c r="L116" i="30"/>
  <c r="B116" i="30"/>
  <c r="Z115" i="30"/>
  <c r="X115" i="30"/>
  <c r="N115" i="30"/>
  <c r="L115" i="30"/>
  <c r="B115" i="30"/>
  <c r="T114" i="30"/>
  <c r="P114" i="30"/>
  <c r="X114" i="30" s="1"/>
  <c r="Z114" i="30" s="1"/>
  <c r="L114" i="30"/>
  <c r="H114" i="30"/>
  <c r="N114" i="30" s="1"/>
  <c r="D114" i="30"/>
  <c r="B114" i="30"/>
  <c r="Z113" i="30"/>
  <c r="X113" i="30"/>
  <c r="L113" i="30"/>
  <c r="N113" i="30" s="1"/>
  <c r="B113" i="30"/>
  <c r="X112" i="30"/>
  <c r="T112" i="30"/>
  <c r="Z112" i="30" s="1"/>
  <c r="P112" i="30"/>
  <c r="L112" i="30"/>
  <c r="H112" i="30"/>
  <c r="N112" i="30" s="1"/>
  <c r="D112" i="30"/>
  <c r="B112" i="30"/>
  <c r="Z111" i="30"/>
  <c r="X111" i="30"/>
  <c r="N111" i="30"/>
  <c r="L111" i="30"/>
  <c r="B111" i="30"/>
  <c r="X110" i="30"/>
  <c r="Z110" i="30" s="1"/>
  <c r="N110" i="30"/>
  <c r="L110" i="30"/>
  <c r="B110" i="30"/>
  <c r="Z109" i="30"/>
  <c r="T109" i="30"/>
  <c r="P109" i="30"/>
  <c r="X109" i="30" s="1"/>
  <c r="H109" i="30"/>
  <c r="D109" i="30"/>
  <c r="L109" i="30" s="1"/>
  <c r="N109" i="30" s="1"/>
  <c r="B109" i="30"/>
  <c r="Z108" i="30"/>
  <c r="X108" i="30"/>
  <c r="N108" i="30"/>
  <c r="L108" i="30"/>
  <c r="B108" i="30"/>
  <c r="Z107" i="30"/>
  <c r="X107" i="30"/>
  <c r="N107" i="30"/>
  <c r="L107" i="30"/>
  <c r="B107" i="30"/>
  <c r="X106" i="30"/>
  <c r="T106" i="30"/>
  <c r="P106" i="30"/>
  <c r="H106" i="30"/>
  <c r="D106" i="30"/>
  <c r="B106" i="30"/>
  <c r="X105" i="30"/>
  <c r="Z105" i="30" s="1"/>
  <c r="N105" i="30"/>
  <c r="L105" i="30"/>
  <c r="B105" i="30"/>
  <c r="T104" i="30"/>
  <c r="P104" i="30"/>
  <c r="X104" i="30" s="1"/>
  <c r="H104" i="30"/>
  <c r="D104" i="30"/>
  <c r="L104" i="30" s="1"/>
  <c r="B104" i="30"/>
  <c r="Z103" i="30"/>
  <c r="X103" i="30"/>
  <c r="N103" i="30"/>
  <c r="L103" i="30"/>
  <c r="B103" i="30"/>
  <c r="X102" i="30"/>
  <c r="Z102" i="30" s="1"/>
  <c r="L102" i="30"/>
  <c r="N102" i="30" s="1"/>
  <c r="B102" i="30"/>
  <c r="X101" i="30"/>
  <c r="Z101" i="30" s="1"/>
  <c r="T101" i="30"/>
  <c r="P101" i="30"/>
  <c r="H101" i="30"/>
  <c r="L101" i="30" s="1"/>
  <c r="N101" i="30" s="1"/>
  <c r="D101" i="30"/>
  <c r="B101" i="30"/>
  <c r="X100" i="30"/>
  <c r="Z100" i="30" s="1"/>
  <c r="N100" i="30"/>
  <c r="L100" i="30"/>
  <c r="B100" i="30"/>
  <c r="T99" i="30"/>
  <c r="X99" i="30" s="1"/>
  <c r="Z99" i="30" s="1"/>
  <c r="P99" i="30"/>
  <c r="H99" i="30"/>
  <c r="D99" i="30"/>
  <c r="L99" i="30" s="1"/>
  <c r="N99" i="30" s="1"/>
  <c r="B99" i="30"/>
  <c r="Z98" i="30"/>
  <c r="X98" i="30"/>
  <c r="N98" i="30"/>
  <c r="L98" i="30"/>
  <c r="B98" i="30"/>
  <c r="Z97" i="30"/>
  <c r="X97" i="30"/>
  <c r="L97" i="30"/>
  <c r="N97" i="30" s="1"/>
  <c r="B97" i="30"/>
  <c r="X96" i="30"/>
  <c r="T96" i="30"/>
  <c r="Z96" i="30" s="1"/>
  <c r="P96" i="30"/>
  <c r="L96" i="30"/>
  <c r="H96" i="30"/>
  <c r="D96" i="30"/>
  <c r="B96" i="30"/>
  <c r="Z95" i="30"/>
  <c r="X95" i="30"/>
  <c r="N95" i="30"/>
  <c r="L95" i="30"/>
  <c r="B95" i="30"/>
  <c r="X94" i="30"/>
  <c r="T94" i="30"/>
  <c r="Z94" i="30" s="1"/>
  <c r="P94" i="30"/>
  <c r="H94" i="30"/>
  <c r="N94" i="30" s="1"/>
  <c r="D94" i="30"/>
  <c r="B94" i="30"/>
  <c r="Z93" i="30"/>
  <c r="X93" i="30"/>
  <c r="N93" i="30"/>
  <c r="L93" i="30"/>
  <c r="B93" i="30"/>
  <c r="T92" i="30"/>
  <c r="Z92" i="30" s="1"/>
  <c r="P92" i="30"/>
  <c r="H92" i="30"/>
  <c r="N92" i="30" s="1"/>
  <c r="D92" i="30"/>
  <c r="L92" i="30" s="1"/>
  <c r="B92" i="30"/>
  <c r="Z91" i="30"/>
  <c r="X91" i="30"/>
  <c r="N91" i="30"/>
  <c r="L91" i="30"/>
  <c r="B91" i="30"/>
  <c r="T90" i="30"/>
  <c r="Z90" i="30" s="1"/>
  <c r="P90" i="30"/>
  <c r="X90" i="30" s="1"/>
  <c r="L90" i="30"/>
  <c r="H90" i="30"/>
  <c r="N90" i="30" s="1"/>
  <c r="D90" i="30"/>
  <c r="B90" i="30"/>
  <c r="Z89" i="30"/>
  <c r="X89" i="30"/>
  <c r="N89" i="30"/>
  <c r="L89" i="30"/>
  <c r="B89" i="30"/>
  <c r="X88" i="30"/>
  <c r="T88" i="30"/>
  <c r="Z88" i="30" s="1"/>
  <c r="P88" i="30"/>
  <c r="L88" i="30"/>
  <c r="H88" i="30"/>
  <c r="N88" i="30" s="1"/>
  <c r="D88" i="30"/>
  <c r="B88" i="30"/>
  <c r="Z87" i="30"/>
  <c r="X87" i="30"/>
  <c r="N87" i="30"/>
  <c r="L87" i="30"/>
  <c r="B87" i="30"/>
  <c r="X86" i="30"/>
  <c r="T86" i="30"/>
  <c r="P86" i="30"/>
  <c r="H86" i="30"/>
  <c r="D86" i="30"/>
  <c r="L86" i="30" s="1"/>
  <c r="B86" i="30"/>
  <c r="Z85" i="30"/>
  <c r="X85" i="30"/>
  <c r="N85" i="30"/>
  <c r="L85" i="30"/>
  <c r="B85" i="30"/>
  <c r="X84" i="30"/>
  <c r="Z84" i="30" s="1"/>
  <c r="L84" i="30"/>
  <c r="N84" i="30" s="1"/>
  <c r="B84" i="30"/>
  <c r="Z83" i="30"/>
  <c r="X83" i="30"/>
  <c r="N83" i="30"/>
  <c r="L83" i="30"/>
  <c r="B83" i="30"/>
  <c r="X82" i="30"/>
  <c r="Z82" i="30" s="1"/>
  <c r="L82" i="30"/>
  <c r="N82" i="30" s="1"/>
  <c r="B82" i="30"/>
  <c r="Z81" i="30"/>
  <c r="X81" i="30"/>
  <c r="N81" i="30"/>
  <c r="L81" i="30"/>
  <c r="B81" i="30"/>
  <c r="X80" i="30"/>
  <c r="T80" i="30"/>
  <c r="Z80" i="30" s="1"/>
  <c r="P80" i="30"/>
  <c r="L80" i="30"/>
  <c r="H80" i="30"/>
  <c r="D80" i="30"/>
  <c r="B80" i="30"/>
  <c r="Z79" i="30"/>
  <c r="X79" i="30"/>
  <c r="N79" i="30"/>
  <c r="L79" i="30"/>
  <c r="B79" i="30"/>
  <c r="X78" i="30"/>
  <c r="Z78" i="30" s="1"/>
  <c r="L78" i="30"/>
  <c r="N78" i="30" s="1"/>
  <c r="B78" i="30"/>
  <c r="Z77" i="30"/>
  <c r="X77" i="30"/>
  <c r="N77" i="30"/>
  <c r="L77" i="30"/>
  <c r="B77" i="30"/>
  <c r="X76" i="30"/>
  <c r="Z76" i="30" s="1"/>
  <c r="L76" i="30"/>
  <c r="N76" i="30" s="1"/>
  <c r="B76" i="30"/>
  <c r="Z75" i="30"/>
  <c r="X75" i="30"/>
  <c r="N75" i="30"/>
  <c r="L75" i="30"/>
  <c r="B75" i="30"/>
  <c r="X74" i="30"/>
  <c r="Z74" i="30" s="1"/>
  <c r="L74" i="30"/>
  <c r="N74" i="30" s="1"/>
  <c r="B74" i="30"/>
  <c r="Z73" i="30"/>
  <c r="X73" i="30"/>
  <c r="N73" i="30"/>
  <c r="L73" i="30"/>
  <c r="B73" i="30"/>
  <c r="X72" i="30"/>
  <c r="Z72" i="30" s="1"/>
  <c r="L72" i="30"/>
  <c r="N72" i="30" s="1"/>
  <c r="B72" i="30"/>
  <c r="T71" i="30"/>
  <c r="P71" i="30"/>
  <c r="X71" i="30" s="1"/>
  <c r="Z71" i="30" s="1"/>
  <c r="N71" i="30"/>
  <c r="L71" i="30"/>
  <c r="H71" i="30"/>
  <c r="D71" i="30"/>
  <c r="B71" i="30"/>
  <c r="T70" i="30"/>
  <c r="P70" i="30"/>
  <c r="X70" i="30" s="1"/>
  <c r="H70" i="30"/>
  <c r="D70" i="30"/>
  <c r="L70" i="30" s="1"/>
  <c r="X66" i="30"/>
  <c r="Z66" i="30" s="1"/>
  <c r="L66" i="30"/>
  <c r="N66" i="30" s="1"/>
  <c r="B66" i="30"/>
  <c r="Z65" i="30"/>
  <c r="X65" i="30"/>
  <c r="N65" i="30"/>
  <c r="L65" i="30"/>
  <c r="B65" i="30"/>
  <c r="X64" i="30"/>
  <c r="Z64" i="30" s="1"/>
  <c r="L64" i="30"/>
  <c r="N64" i="30" s="1"/>
  <c r="B64" i="30"/>
  <c r="Z63" i="30"/>
  <c r="X63" i="30"/>
  <c r="N63" i="30"/>
  <c r="L63" i="30"/>
  <c r="B63" i="30"/>
  <c r="X62" i="30"/>
  <c r="Z62" i="30" s="1"/>
  <c r="L62" i="30"/>
  <c r="N62" i="30" s="1"/>
  <c r="B62" i="30"/>
  <c r="Z61" i="30"/>
  <c r="X61" i="30"/>
  <c r="N61" i="30"/>
  <c r="L61" i="30"/>
  <c r="B61" i="30"/>
  <c r="X60" i="30"/>
  <c r="Z60" i="30" s="1"/>
  <c r="L60" i="30"/>
  <c r="N60" i="30" s="1"/>
  <c r="B60" i="30"/>
  <c r="Z59" i="30"/>
  <c r="X59" i="30"/>
  <c r="N59" i="30"/>
  <c r="L59" i="30"/>
  <c r="B59" i="30"/>
  <c r="X58" i="30"/>
  <c r="Z58" i="30" s="1"/>
  <c r="L58" i="30"/>
  <c r="N58" i="30" s="1"/>
  <c r="B58" i="30"/>
  <c r="Z57" i="30"/>
  <c r="X57" i="30"/>
  <c r="N57" i="30"/>
  <c r="L57" i="30"/>
  <c r="B57" i="30"/>
  <c r="X56" i="30"/>
  <c r="Z56" i="30" s="1"/>
  <c r="L56" i="30"/>
  <c r="N56" i="30" s="1"/>
  <c r="B56" i="30"/>
  <c r="Z55" i="30"/>
  <c r="X55" i="30"/>
  <c r="N55" i="30"/>
  <c r="L55" i="30"/>
  <c r="B55" i="30"/>
  <c r="X54" i="30"/>
  <c r="Z54" i="30" s="1"/>
  <c r="L54" i="30"/>
  <c r="N54" i="30" s="1"/>
  <c r="B54" i="30"/>
  <c r="Z53" i="30"/>
  <c r="X53" i="30"/>
  <c r="N53" i="30"/>
  <c r="L53" i="30"/>
  <c r="B53" i="30"/>
  <c r="X52" i="30"/>
  <c r="Z52" i="30" s="1"/>
  <c r="L52" i="30"/>
  <c r="N52" i="30" s="1"/>
  <c r="B52" i="30"/>
  <c r="Z51" i="30"/>
  <c r="X51" i="30"/>
  <c r="N51" i="30"/>
  <c r="L51" i="30"/>
  <c r="B51" i="30"/>
  <c r="T50" i="30"/>
  <c r="Z50" i="30" s="1"/>
  <c r="P50" i="30"/>
  <c r="X50" i="30" s="1"/>
  <c r="H50" i="30"/>
  <c r="D50" i="30"/>
  <c r="L50" i="30" s="1"/>
  <c r="X48" i="30"/>
  <c r="Z48" i="30" s="1"/>
  <c r="T48" i="30"/>
  <c r="P48" i="30"/>
  <c r="H48" i="30"/>
  <c r="D48" i="30"/>
  <c r="L48" i="30" s="1"/>
  <c r="B48" i="30"/>
  <c r="T47" i="30"/>
  <c r="P47" i="30"/>
  <c r="X47" i="30" s="1"/>
  <c r="Z47" i="30" s="1"/>
  <c r="H47" i="30"/>
  <c r="D47" i="30"/>
  <c r="B47" i="30"/>
  <c r="T46" i="30"/>
  <c r="Z46" i="30" s="1"/>
  <c r="P46" i="30"/>
  <c r="X46" i="30" s="1"/>
  <c r="H46" i="30"/>
  <c r="D46" i="30"/>
  <c r="L46" i="30" s="1"/>
  <c r="N46" i="30" s="1"/>
  <c r="B46" i="30"/>
  <c r="T45" i="30"/>
  <c r="Z45" i="30" s="1"/>
  <c r="P45" i="30"/>
  <c r="X45" i="30" s="1"/>
  <c r="H45" i="30"/>
  <c r="D45" i="30"/>
  <c r="B45" i="30"/>
  <c r="T44" i="30"/>
  <c r="P44" i="30"/>
  <c r="X44" i="30" s="1"/>
  <c r="L44" i="30"/>
  <c r="N44" i="30" s="1"/>
  <c r="H44" i="30"/>
  <c r="D44" i="30"/>
  <c r="B44" i="30"/>
  <c r="T43" i="30"/>
  <c r="P43" i="30"/>
  <c r="H43" i="30"/>
  <c r="D43" i="30"/>
  <c r="L43" i="30" s="1"/>
  <c r="N43" i="30" s="1"/>
  <c r="B43" i="30"/>
  <c r="T42" i="30"/>
  <c r="P42" i="30"/>
  <c r="X42" i="30" s="1"/>
  <c r="Z42" i="30" s="1"/>
  <c r="H42" i="30"/>
  <c r="N42" i="30" s="1"/>
  <c r="D42" i="30"/>
  <c r="L42" i="30" s="1"/>
  <c r="B42" i="30"/>
  <c r="T41" i="30"/>
  <c r="P41" i="30"/>
  <c r="H41" i="30"/>
  <c r="D41" i="30"/>
  <c r="L41" i="30" s="1"/>
  <c r="B41" i="30"/>
  <c r="X40" i="30"/>
  <c r="Z40" i="30" s="1"/>
  <c r="T40" i="30"/>
  <c r="P40" i="30"/>
  <c r="H40" i="30"/>
  <c r="N40" i="30" s="1"/>
  <c r="D40" i="30"/>
  <c r="L40" i="30" s="1"/>
  <c r="B40" i="30"/>
  <c r="T39" i="30"/>
  <c r="P39" i="30"/>
  <c r="X39" i="30" s="1"/>
  <c r="Z39" i="30" s="1"/>
  <c r="H39" i="30"/>
  <c r="D39" i="30"/>
  <c r="B39" i="30"/>
  <c r="T38" i="30"/>
  <c r="Z38" i="30" s="1"/>
  <c r="P38" i="30"/>
  <c r="X38" i="30" s="1"/>
  <c r="N38" i="30"/>
  <c r="H38" i="30"/>
  <c r="D38" i="30"/>
  <c r="L38" i="30" s="1"/>
  <c r="B38" i="30"/>
  <c r="T37" i="30"/>
  <c r="P37" i="30"/>
  <c r="X37" i="30" s="1"/>
  <c r="H37" i="30"/>
  <c r="D37" i="30"/>
  <c r="B37" i="30"/>
  <c r="T36" i="30"/>
  <c r="P36" i="30"/>
  <c r="X36" i="30" s="1"/>
  <c r="L36" i="30"/>
  <c r="N36" i="30" s="1"/>
  <c r="H36" i="30"/>
  <c r="D36" i="30"/>
  <c r="B36" i="30"/>
  <c r="T35" i="30"/>
  <c r="P35" i="30"/>
  <c r="H35" i="30"/>
  <c r="D35" i="30"/>
  <c r="L35" i="30" s="1"/>
  <c r="N35" i="30" s="1"/>
  <c r="B35" i="30"/>
  <c r="T34" i="30"/>
  <c r="P34" i="30"/>
  <c r="X34" i="30" s="1"/>
  <c r="Z34" i="30" s="1"/>
  <c r="H34" i="30"/>
  <c r="D34" i="30"/>
  <c r="L34" i="30" s="1"/>
  <c r="B34" i="30"/>
  <c r="T33" i="30"/>
  <c r="P33" i="30"/>
  <c r="H33" i="30"/>
  <c r="D33" i="30"/>
  <c r="L33" i="30" s="1"/>
  <c r="B33" i="30"/>
  <c r="X32" i="30"/>
  <c r="Z32" i="30" s="1"/>
  <c r="T32" i="30"/>
  <c r="P32" i="30"/>
  <c r="H32" i="30"/>
  <c r="N32" i="30" s="1"/>
  <c r="D32" i="30"/>
  <c r="L32" i="30" s="1"/>
  <c r="B32" i="30"/>
  <c r="Z31" i="30"/>
  <c r="T31" i="30"/>
  <c r="P31" i="30"/>
  <c r="X31" i="30" s="1"/>
  <c r="H31" i="30"/>
  <c r="D31" i="30"/>
  <c r="B31" i="30"/>
  <c r="T30" i="30"/>
  <c r="Z30" i="30" s="1"/>
  <c r="P30" i="30"/>
  <c r="X30" i="30" s="1"/>
  <c r="H30" i="30"/>
  <c r="D30" i="30"/>
  <c r="L30" i="30" s="1"/>
  <c r="N30" i="30" s="1"/>
  <c r="B30" i="30"/>
  <c r="T29" i="30"/>
  <c r="Z29" i="30" s="1"/>
  <c r="P29" i="30"/>
  <c r="X29" i="30" s="1"/>
  <c r="H29" i="30"/>
  <c r="D29" i="30"/>
  <c r="B29" i="30"/>
  <c r="T28" i="30"/>
  <c r="Z28" i="30" s="1"/>
  <c r="P28" i="30"/>
  <c r="X28" i="30" s="1"/>
  <c r="L28" i="30"/>
  <c r="N28" i="30" s="1"/>
  <c r="H28" i="30"/>
  <c r="D28" i="30"/>
  <c r="B28" i="30"/>
  <c r="T27" i="30"/>
  <c r="P27" i="30"/>
  <c r="N27" i="30"/>
  <c r="H27" i="30"/>
  <c r="D27" i="30"/>
  <c r="L27" i="30" s="1"/>
  <c r="B27" i="30"/>
  <c r="T26" i="30"/>
  <c r="P26" i="30"/>
  <c r="X26" i="30" s="1"/>
  <c r="Z26" i="30" s="1"/>
  <c r="H26" i="30"/>
  <c r="N26" i="30" s="1"/>
  <c r="D26" i="30"/>
  <c r="L26" i="30" s="1"/>
  <c r="B26" i="30"/>
  <c r="T25" i="30"/>
  <c r="P25" i="30"/>
  <c r="H25" i="30"/>
  <c r="N25" i="30" s="1"/>
  <c r="D25" i="30"/>
  <c r="L25" i="30" s="1"/>
  <c r="B25" i="30"/>
  <c r="X24" i="30"/>
  <c r="Z24" i="30" s="1"/>
  <c r="T24" i="30"/>
  <c r="P24" i="30"/>
  <c r="H24" i="30"/>
  <c r="D24" i="30"/>
  <c r="L24" i="30" s="1"/>
  <c r="B24" i="30"/>
  <c r="T23" i="30"/>
  <c r="P23" i="30"/>
  <c r="X23" i="30" s="1"/>
  <c r="Z23" i="30" s="1"/>
  <c r="H23" i="30"/>
  <c r="D23" i="30"/>
  <c r="B23" i="30"/>
  <c r="T22" i="30"/>
  <c r="P22" i="30"/>
  <c r="X22" i="30" s="1"/>
  <c r="H22" i="30"/>
  <c r="D22" i="30"/>
  <c r="L22" i="30" s="1"/>
  <c r="N22" i="30" s="1"/>
  <c r="B22" i="30"/>
  <c r="T21" i="30"/>
  <c r="P21" i="30"/>
  <c r="X21" i="30" s="1"/>
  <c r="H21" i="30"/>
  <c r="D21" i="30"/>
  <c r="B21" i="30"/>
  <c r="T20" i="30"/>
  <c r="P20" i="30"/>
  <c r="X20" i="30" s="1"/>
  <c r="L20" i="30"/>
  <c r="N20" i="30" s="1"/>
  <c r="H20" i="30"/>
  <c r="D20" i="30"/>
  <c r="B20" i="30"/>
  <c r="T19" i="30"/>
  <c r="P19" i="30"/>
  <c r="H19" i="30"/>
  <c r="D19" i="30"/>
  <c r="L19" i="30" s="1"/>
  <c r="N19" i="30" s="1"/>
  <c r="B19" i="30"/>
  <c r="T18" i="30"/>
  <c r="P18" i="30"/>
  <c r="H18" i="30"/>
  <c r="D18" i="30"/>
  <c r="L18" i="30" s="1"/>
  <c r="B18" i="30"/>
  <c r="T17" i="30"/>
  <c r="P17" i="30"/>
  <c r="H17" i="30"/>
  <c r="D17" i="30"/>
  <c r="L17" i="30" s="1"/>
  <c r="B17" i="30"/>
  <c r="X16" i="30"/>
  <c r="Z16" i="30" s="1"/>
  <c r="T16" i="30"/>
  <c r="P16" i="30"/>
  <c r="H16" i="30"/>
  <c r="N16" i="30" s="1"/>
  <c r="D16" i="30"/>
  <c r="L16" i="30" s="1"/>
  <c r="B16" i="30"/>
  <c r="Z15" i="30"/>
  <c r="T15" i="30"/>
  <c r="P15" i="30"/>
  <c r="X15" i="30" s="1"/>
  <c r="H15" i="30"/>
  <c r="D15" i="30"/>
  <c r="B15" i="30"/>
  <c r="T14" i="30"/>
  <c r="Z14" i="30" s="1"/>
  <c r="P14" i="30"/>
  <c r="X14" i="30" s="1"/>
  <c r="H14" i="30"/>
  <c r="D14" i="30"/>
  <c r="B14" i="30"/>
  <c r="T13" i="30"/>
  <c r="Z13" i="30" s="1"/>
  <c r="P13" i="30"/>
  <c r="X13" i="30" s="1"/>
  <c r="H13" i="30"/>
  <c r="D13" i="30"/>
  <c r="B13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2" i="29" s="1"/>
  <c r="P12" i="29"/>
  <c r="R18" i="29" s="1"/>
  <c r="H12" i="29"/>
  <c r="J20" i="29" s="1"/>
  <c r="D12" i="29"/>
  <c r="F22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D33" i="28"/>
  <c r="T29" i="28"/>
  <c r="Z29" i="28" s="1"/>
  <c r="P29" i="28"/>
  <c r="H29" i="28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P20" i="28"/>
  <c r="H20" i="28"/>
  <c r="N20" i="28" s="1"/>
  <c r="D20" i="28"/>
  <c r="T16" i="28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D13" i="28"/>
  <c r="B13" i="28"/>
  <c r="T12" i="28"/>
  <c r="V36" i="28" s="1"/>
  <c r="P12" i="28"/>
  <c r="R21" i="28" s="1"/>
  <c r="H12" i="28"/>
  <c r="J20" i="28" s="1"/>
  <c r="D12" i="28"/>
  <c r="F36" i="28" s="1"/>
  <c r="D5" i="28"/>
  <c r="D4" i="28"/>
  <c r="Z99" i="27"/>
  <c r="X99" i="27"/>
  <c r="N99" i="27"/>
  <c r="L99" i="27"/>
  <c r="T95" i="27"/>
  <c r="X95" i="27" s="1"/>
  <c r="Z95" i="27" s="1"/>
  <c r="P95" i="27"/>
  <c r="H95" i="27"/>
  <c r="D95" i="27"/>
  <c r="L95" i="27" s="1"/>
  <c r="N95" i="27" s="1"/>
  <c r="B95" i="27"/>
  <c r="X94" i="27"/>
  <c r="T94" i="27"/>
  <c r="P94" i="27"/>
  <c r="P93" i="27" s="1"/>
  <c r="H94" i="27"/>
  <c r="D94" i="27"/>
  <c r="B94" i="27"/>
  <c r="Z91" i="27"/>
  <c r="X91" i="27"/>
  <c r="L91" i="27"/>
  <c r="N91" i="27" s="1"/>
  <c r="B91" i="27"/>
  <c r="T90" i="27"/>
  <c r="Z90" i="27" s="1"/>
  <c r="P90" i="27"/>
  <c r="X90" i="27" s="1"/>
  <c r="L90" i="27"/>
  <c r="H90" i="27"/>
  <c r="N90" i="27" s="1"/>
  <c r="D90" i="27"/>
  <c r="B90" i="27"/>
  <c r="Z89" i="27"/>
  <c r="X89" i="27"/>
  <c r="N89" i="27"/>
  <c r="L89" i="27"/>
  <c r="B89" i="27"/>
  <c r="X88" i="27"/>
  <c r="Z88" i="27" s="1"/>
  <c r="N88" i="27"/>
  <c r="L88" i="27"/>
  <c r="B88" i="27"/>
  <c r="T87" i="27"/>
  <c r="P87" i="27"/>
  <c r="X87" i="27" s="1"/>
  <c r="Z87" i="27" s="1"/>
  <c r="H87" i="27"/>
  <c r="D87" i="27"/>
  <c r="L87" i="27" s="1"/>
  <c r="N87" i="27" s="1"/>
  <c r="B87" i="27"/>
  <c r="X86" i="27"/>
  <c r="Z86" i="27" s="1"/>
  <c r="L86" i="27"/>
  <c r="N86" i="27" s="1"/>
  <c r="B86" i="27"/>
  <c r="Z85" i="27"/>
  <c r="X85" i="27"/>
  <c r="L85" i="27"/>
  <c r="N85" i="27" s="1"/>
  <c r="B85" i="27"/>
  <c r="X84" i="27"/>
  <c r="T84" i="27"/>
  <c r="P84" i="27"/>
  <c r="H84" i="27"/>
  <c r="D84" i="27"/>
  <c r="B84" i="27"/>
  <c r="X83" i="27"/>
  <c r="Z83" i="27" s="1"/>
  <c r="N83" i="27"/>
  <c r="L83" i="27"/>
  <c r="B83" i="27"/>
  <c r="T82" i="27"/>
  <c r="P82" i="27"/>
  <c r="H82" i="27"/>
  <c r="D82" i="27"/>
  <c r="L82" i="27" s="1"/>
  <c r="B82" i="27"/>
  <c r="X81" i="27"/>
  <c r="Z81" i="27" s="1"/>
  <c r="N81" i="27"/>
  <c r="L81" i="27"/>
  <c r="B81" i="27"/>
  <c r="Z80" i="27"/>
  <c r="X80" i="27"/>
  <c r="N80" i="27"/>
  <c r="L80" i="27"/>
  <c r="B80" i="27"/>
  <c r="Z79" i="27"/>
  <c r="X79" i="27"/>
  <c r="T79" i="27"/>
  <c r="P79" i="27"/>
  <c r="L79" i="27"/>
  <c r="N79" i="27" s="1"/>
  <c r="H79" i="27"/>
  <c r="D79" i="27"/>
  <c r="B79" i="27"/>
  <c r="X78" i="27"/>
  <c r="Z78" i="27" s="1"/>
  <c r="L78" i="27"/>
  <c r="N78" i="27" s="1"/>
  <c r="B78" i="27"/>
  <c r="X77" i="27"/>
  <c r="Z77" i="27" s="1"/>
  <c r="T77" i="27"/>
  <c r="P77" i="27"/>
  <c r="H77" i="27"/>
  <c r="D77" i="27"/>
  <c r="L77" i="27" s="1"/>
  <c r="N77" i="27" s="1"/>
  <c r="B77" i="27"/>
  <c r="X76" i="27"/>
  <c r="Z76" i="27" s="1"/>
  <c r="N76" i="27"/>
  <c r="L76" i="27"/>
  <c r="B76" i="27"/>
  <c r="T75" i="27"/>
  <c r="P75" i="27"/>
  <c r="X75" i="27" s="1"/>
  <c r="Z75" i="27" s="1"/>
  <c r="H75" i="27"/>
  <c r="D75" i="27"/>
  <c r="L75" i="27" s="1"/>
  <c r="N75" i="27" s="1"/>
  <c r="B75" i="27"/>
  <c r="X74" i="27"/>
  <c r="Z74" i="27" s="1"/>
  <c r="L74" i="27"/>
  <c r="N74" i="27" s="1"/>
  <c r="B74" i="27"/>
  <c r="T73" i="27"/>
  <c r="P73" i="27"/>
  <c r="X73" i="27" s="1"/>
  <c r="Z73" i="27" s="1"/>
  <c r="L73" i="27"/>
  <c r="N73" i="27" s="1"/>
  <c r="H73" i="27"/>
  <c r="D73" i="27"/>
  <c r="B73" i="27"/>
  <c r="X72" i="27"/>
  <c r="Z72" i="27" s="1"/>
  <c r="L72" i="27"/>
  <c r="N72" i="27" s="1"/>
  <c r="B72" i="27"/>
  <c r="Z71" i="27"/>
  <c r="X71" i="27"/>
  <c r="T71" i="27"/>
  <c r="P71" i="27"/>
  <c r="L71" i="27"/>
  <c r="H71" i="27"/>
  <c r="N71" i="27" s="1"/>
  <c r="D71" i="27"/>
  <c r="B71" i="27"/>
  <c r="X70" i="27"/>
  <c r="Z70" i="27" s="1"/>
  <c r="N70" i="27"/>
  <c r="L70" i="27"/>
  <c r="B70" i="27"/>
  <c r="X69" i="27"/>
  <c r="T69" i="27"/>
  <c r="Z69" i="27" s="1"/>
  <c r="P69" i="27"/>
  <c r="H69" i="27"/>
  <c r="D69" i="27"/>
  <c r="L69" i="27" s="1"/>
  <c r="N69" i="27" s="1"/>
  <c r="B69" i="27"/>
  <c r="Z68" i="27"/>
  <c r="X68" i="27"/>
  <c r="N68" i="27"/>
  <c r="L68" i="27"/>
  <c r="B68" i="27"/>
  <c r="Z67" i="27"/>
  <c r="T67" i="27"/>
  <c r="P67" i="27"/>
  <c r="X67" i="27" s="1"/>
  <c r="N67" i="27"/>
  <c r="H67" i="27"/>
  <c r="D67" i="27"/>
  <c r="L67" i="27" s="1"/>
  <c r="B67" i="27"/>
  <c r="X66" i="27"/>
  <c r="Z66" i="27" s="1"/>
  <c r="L66" i="27"/>
  <c r="N66" i="27" s="1"/>
  <c r="B66" i="27"/>
  <c r="T65" i="27"/>
  <c r="P65" i="27"/>
  <c r="X65" i="27" s="1"/>
  <c r="Z65" i="27" s="1"/>
  <c r="L65" i="27"/>
  <c r="N65" i="27" s="1"/>
  <c r="H65" i="27"/>
  <c r="D65" i="27"/>
  <c r="B65" i="27"/>
  <c r="Z64" i="27"/>
  <c r="X64" i="27"/>
  <c r="L64" i="27"/>
  <c r="N64" i="27" s="1"/>
  <c r="B64" i="27"/>
  <c r="X63" i="27"/>
  <c r="Z63" i="27" s="1"/>
  <c r="N63" i="27"/>
  <c r="L63" i="27"/>
  <c r="B63" i="27"/>
  <c r="Z62" i="27"/>
  <c r="X62" i="27"/>
  <c r="L62" i="27"/>
  <c r="N62" i="27" s="1"/>
  <c r="B62" i="27"/>
  <c r="Z61" i="27"/>
  <c r="X61" i="27"/>
  <c r="L61" i="27"/>
  <c r="N61" i="27" s="1"/>
  <c r="B61" i="27"/>
  <c r="X60" i="27"/>
  <c r="Z60" i="27" s="1"/>
  <c r="N60" i="27"/>
  <c r="L60" i="27"/>
  <c r="B60" i="27"/>
  <c r="Z59" i="27"/>
  <c r="X59" i="27"/>
  <c r="N59" i="27"/>
  <c r="L59" i="27"/>
  <c r="B59" i="27"/>
  <c r="T58" i="27"/>
  <c r="Z58" i="27" s="1"/>
  <c r="P58" i="27"/>
  <c r="X58" i="27" s="1"/>
  <c r="L58" i="27"/>
  <c r="H58" i="27"/>
  <c r="N58" i="27" s="1"/>
  <c r="D58" i="27"/>
  <c r="B58" i="27"/>
  <c r="Z57" i="27"/>
  <c r="X57" i="27"/>
  <c r="L57" i="27"/>
  <c r="N57" i="27" s="1"/>
  <c r="B57" i="27"/>
  <c r="X56" i="27"/>
  <c r="Z56" i="27" s="1"/>
  <c r="L56" i="27"/>
  <c r="N56" i="27" s="1"/>
  <c r="B56" i="27"/>
  <c r="Z55" i="27"/>
  <c r="X55" i="27"/>
  <c r="N55" i="27"/>
  <c r="L55" i="27"/>
  <c r="B55" i="27"/>
  <c r="X54" i="27"/>
  <c r="Z54" i="27" s="1"/>
  <c r="N54" i="27"/>
  <c r="L54" i="27"/>
  <c r="B54" i="27"/>
  <c r="X53" i="27"/>
  <c r="Z53" i="27" s="1"/>
  <c r="N53" i="27"/>
  <c r="L53" i="27"/>
  <c r="B53" i="27"/>
  <c r="X52" i="27"/>
  <c r="Z52" i="27" s="1"/>
  <c r="L52" i="27"/>
  <c r="N52" i="27" s="1"/>
  <c r="B52" i="27"/>
  <c r="Z51" i="27"/>
  <c r="X51" i="27"/>
  <c r="N51" i="27"/>
  <c r="L51" i="27"/>
  <c r="B51" i="27"/>
  <c r="Z50" i="27"/>
  <c r="X50" i="27"/>
  <c r="L50" i="27"/>
  <c r="N50" i="27" s="1"/>
  <c r="B50" i="27"/>
  <c r="Z49" i="27"/>
  <c r="X49" i="27"/>
  <c r="L49" i="27"/>
  <c r="N49" i="27" s="1"/>
  <c r="B49" i="27"/>
  <c r="X48" i="27"/>
  <c r="T48" i="27"/>
  <c r="P48" i="27"/>
  <c r="H48" i="27"/>
  <c r="D48" i="27"/>
  <c r="B48" i="27"/>
  <c r="T47" i="27"/>
  <c r="X47" i="27" s="1"/>
  <c r="Z47" i="27" s="1"/>
  <c r="P47" i="27"/>
  <c r="H47" i="27"/>
  <c r="N47" i="27" s="1"/>
  <c r="D47" i="27"/>
  <c r="L47" i="27" s="1"/>
  <c r="Z43" i="27"/>
  <c r="X43" i="27"/>
  <c r="N43" i="27"/>
  <c r="L43" i="27"/>
  <c r="B43" i="27"/>
  <c r="Z42" i="27"/>
  <c r="X42" i="27"/>
  <c r="N42" i="27"/>
  <c r="L42" i="27"/>
  <c r="B42" i="27"/>
  <c r="X41" i="27"/>
  <c r="Z41" i="27" s="1"/>
  <c r="L41" i="27"/>
  <c r="N41" i="27" s="1"/>
  <c r="B41" i="27"/>
  <c r="Z40" i="27"/>
  <c r="X40" i="27"/>
  <c r="N40" i="27"/>
  <c r="L40" i="27"/>
  <c r="B40" i="27"/>
  <c r="Z39" i="27"/>
  <c r="X39" i="27"/>
  <c r="L39" i="27"/>
  <c r="N39" i="27" s="1"/>
  <c r="B39" i="27"/>
  <c r="Z38" i="27"/>
  <c r="X38" i="27"/>
  <c r="N38" i="27"/>
  <c r="L38" i="27"/>
  <c r="B38" i="27"/>
  <c r="X37" i="27"/>
  <c r="Z37" i="27" s="1"/>
  <c r="L37" i="27"/>
  <c r="N37" i="27" s="1"/>
  <c r="B37" i="27"/>
  <c r="X36" i="27"/>
  <c r="Z36" i="27" s="1"/>
  <c r="L36" i="27"/>
  <c r="N36" i="27" s="1"/>
  <c r="B36" i="27"/>
  <c r="X35" i="27"/>
  <c r="Z35" i="27" s="1"/>
  <c r="N35" i="27"/>
  <c r="L35" i="27"/>
  <c r="B35" i="27"/>
  <c r="Z34" i="27"/>
  <c r="X34" i="27"/>
  <c r="N34" i="27"/>
  <c r="L34" i="27"/>
  <c r="B34" i="27"/>
  <c r="X33" i="27"/>
  <c r="Z33" i="27" s="1"/>
  <c r="L33" i="27"/>
  <c r="N33" i="27" s="1"/>
  <c r="B33" i="27"/>
  <c r="X32" i="27"/>
  <c r="Z32" i="27" s="1"/>
  <c r="L32" i="27"/>
  <c r="N32" i="27" s="1"/>
  <c r="B32" i="27"/>
  <c r="Z31" i="27"/>
  <c r="X31" i="27"/>
  <c r="N31" i="27"/>
  <c r="L31" i="27"/>
  <c r="B31" i="27"/>
  <c r="T30" i="27"/>
  <c r="Z30" i="27" s="1"/>
  <c r="P30" i="27"/>
  <c r="X30" i="27" s="1"/>
  <c r="L30" i="27"/>
  <c r="N30" i="27" s="1"/>
  <c r="H30" i="27"/>
  <c r="D30" i="27"/>
  <c r="T28" i="27"/>
  <c r="P28" i="27"/>
  <c r="X28" i="27" s="1"/>
  <c r="H28" i="27"/>
  <c r="D28" i="27"/>
  <c r="L28" i="27" s="1"/>
  <c r="N28" i="27" s="1"/>
  <c r="B28" i="27"/>
  <c r="T27" i="27"/>
  <c r="P27" i="27"/>
  <c r="H27" i="27"/>
  <c r="N27" i="27" s="1"/>
  <c r="D27" i="27"/>
  <c r="L27" i="27" s="1"/>
  <c r="B27" i="27"/>
  <c r="Z26" i="27"/>
  <c r="X26" i="27"/>
  <c r="T26" i="27"/>
  <c r="P26" i="27"/>
  <c r="H26" i="27"/>
  <c r="N26" i="27" s="1"/>
  <c r="D26" i="27"/>
  <c r="B26" i="27"/>
  <c r="Z25" i="27"/>
  <c r="X25" i="27"/>
  <c r="T25" i="27"/>
  <c r="P25" i="27"/>
  <c r="H25" i="27"/>
  <c r="D25" i="27"/>
  <c r="L25" i="27" s="1"/>
  <c r="N25" i="27" s="1"/>
  <c r="B25" i="27"/>
  <c r="T24" i="27"/>
  <c r="P24" i="27"/>
  <c r="X24" i="27" s="1"/>
  <c r="Z24" i="27" s="1"/>
  <c r="H24" i="27"/>
  <c r="D24" i="27"/>
  <c r="L24" i="27" s="1"/>
  <c r="B24" i="27"/>
  <c r="T23" i="27"/>
  <c r="Z23" i="27" s="1"/>
  <c r="P23" i="27"/>
  <c r="X23" i="27" s="1"/>
  <c r="H23" i="27"/>
  <c r="D23" i="27"/>
  <c r="B23" i="27"/>
  <c r="T22" i="27"/>
  <c r="P22" i="27"/>
  <c r="L22" i="27"/>
  <c r="N22" i="27" s="1"/>
  <c r="H22" i="27"/>
  <c r="D22" i="27"/>
  <c r="B22" i="27"/>
  <c r="T21" i="27"/>
  <c r="P21" i="27"/>
  <c r="X21" i="27" s="1"/>
  <c r="Z21" i="27" s="1"/>
  <c r="N21" i="27"/>
  <c r="L21" i="27"/>
  <c r="H21" i="27"/>
  <c r="D21" i="27"/>
  <c r="B21" i="27"/>
  <c r="T20" i="27"/>
  <c r="Z20" i="27" s="1"/>
  <c r="P20" i="27"/>
  <c r="X20" i="27" s="1"/>
  <c r="H20" i="27"/>
  <c r="D20" i="27"/>
  <c r="L20" i="27" s="1"/>
  <c r="N20" i="27" s="1"/>
  <c r="B20" i="27"/>
  <c r="T19" i="27"/>
  <c r="P19" i="27"/>
  <c r="H19" i="27"/>
  <c r="D19" i="27"/>
  <c r="L19" i="27" s="1"/>
  <c r="B19" i="27"/>
  <c r="X18" i="27"/>
  <c r="Z18" i="27" s="1"/>
  <c r="T18" i="27"/>
  <c r="P18" i="27"/>
  <c r="H18" i="27"/>
  <c r="D18" i="27"/>
  <c r="B18" i="27"/>
  <c r="Z17" i="27"/>
  <c r="X17" i="27"/>
  <c r="T17" i="27"/>
  <c r="P17" i="27"/>
  <c r="H17" i="27"/>
  <c r="D17" i="27"/>
  <c r="L17" i="27" s="1"/>
  <c r="N17" i="27" s="1"/>
  <c r="B17" i="27"/>
  <c r="T16" i="27"/>
  <c r="P16" i="27"/>
  <c r="X16" i="27" s="1"/>
  <c r="Z16" i="27" s="1"/>
  <c r="H16" i="27"/>
  <c r="D16" i="27"/>
  <c r="B16" i="27"/>
  <c r="T15" i="27"/>
  <c r="Z15" i="27" s="1"/>
  <c r="P15" i="27"/>
  <c r="X15" i="27" s="1"/>
  <c r="H15" i="27"/>
  <c r="D15" i="27"/>
  <c r="B15" i="27"/>
  <c r="T14" i="27"/>
  <c r="P14" i="27"/>
  <c r="L14" i="27"/>
  <c r="N14" i="27" s="1"/>
  <c r="H14" i="27"/>
  <c r="D14" i="27"/>
  <c r="B14" i="27"/>
  <c r="T13" i="27"/>
  <c r="P13" i="27"/>
  <c r="X13" i="27" s="1"/>
  <c r="Z13" i="27" s="1"/>
  <c r="N13" i="27"/>
  <c r="L13" i="27"/>
  <c r="H13" i="27"/>
  <c r="D13" i="27"/>
  <c r="B13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18" i="26" s="1"/>
  <c r="P12" i="26"/>
  <c r="R31" i="26" s="1"/>
  <c r="H12" i="26"/>
  <c r="J22" i="26" s="1"/>
  <c r="D12" i="26"/>
  <c r="F18" i="26" s="1"/>
  <c r="D5" i="26"/>
  <c r="D4" i="26"/>
  <c r="B39" i="25"/>
  <c r="B38" i="25"/>
  <c r="T34" i="25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4" i="25" s="1"/>
  <c r="P12" i="25"/>
  <c r="R34" i="25" s="1"/>
  <c r="H12" i="25"/>
  <c r="D12" i="25"/>
  <c r="F21" i="25" s="1"/>
  <c r="D5" i="25"/>
  <c r="D4" i="25"/>
  <c r="Z54" i="24"/>
  <c r="X54" i="24"/>
  <c r="N54" i="24"/>
  <c r="L54" i="24"/>
  <c r="T50" i="24"/>
  <c r="Z50" i="24" s="1"/>
  <c r="P50" i="24"/>
  <c r="H50" i="24"/>
  <c r="N50" i="24" s="1"/>
  <c r="D50" i="24"/>
  <c r="L50" i="24" s="1"/>
  <c r="Z48" i="24"/>
  <c r="X48" i="24"/>
  <c r="L48" i="24"/>
  <c r="N48" i="24" s="1"/>
  <c r="B48" i="24"/>
  <c r="T47" i="24"/>
  <c r="Z47" i="24" s="1"/>
  <c r="P47" i="24"/>
  <c r="X47" i="24" s="1"/>
  <c r="L47" i="24"/>
  <c r="N47" i="24" s="1"/>
  <c r="H47" i="24"/>
  <c r="D47" i="24"/>
  <c r="B47" i="24"/>
  <c r="X46" i="24"/>
  <c r="Z46" i="24" s="1"/>
  <c r="V46" i="24"/>
  <c r="L46" i="24"/>
  <c r="N46" i="24" s="1"/>
  <c r="B46" i="24"/>
  <c r="X45" i="24"/>
  <c r="Z45" i="24" s="1"/>
  <c r="T45" i="24"/>
  <c r="P45" i="24"/>
  <c r="H45" i="24"/>
  <c r="D45" i="24"/>
  <c r="B45" i="24"/>
  <c r="X44" i="24"/>
  <c r="Z44" i="24" s="1"/>
  <c r="N44" i="24"/>
  <c r="L44" i="24"/>
  <c r="B44" i="24"/>
  <c r="Z43" i="24"/>
  <c r="X43" i="24"/>
  <c r="L43" i="24"/>
  <c r="N43" i="24" s="1"/>
  <c r="B43" i="24"/>
  <c r="X42" i="24"/>
  <c r="Z42" i="24" s="1"/>
  <c r="T42" i="24"/>
  <c r="P42" i="24"/>
  <c r="L42" i="24"/>
  <c r="H42" i="24"/>
  <c r="N42" i="24" s="1"/>
  <c r="D42" i="24"/>
  <c r="B42" i="24"/>
  <c r="Z41" i="24"/>
  <c r="X41" i="24"/>
  <c r="N41" i="24"/>
  <c r="L41" i="24"/>
  <c r="B41" i="24"/>
  <c r="X40" i="24"/>
  <c r="T40" i="24"/>
  <c r="Z40" i="24" s="1"/>
  <c r="P40" i="24"/>
  <c r="H40" i="24"/>
  <c r="N40" i="24" s="1"/>
  <c r="D40" i="24"/>
  <c r="L40" i="24" s="1"/>
  <c r="B40" i="24"/>
  <c r="X39" i="24"/>
  <c r="Z39" i="24" s="1"/>
  <c r="N39" i="24"/>
  <c r="L39" i="24"/>
  <c r="B39" i="24"/>
  <c r="T38" i="24"/>
  <c r="Z38" i="24" s="1"/>
  <c r="P38" i="24"/>
  <c r="X38" i="24" s="1"/>
  <c r="H38" i="24"/>
  <c r="D38" i="24"/>
  <c r="L38" i="24" s="1"/>
  <c r="N38" i="24" s="1"/>
  <c r="B38" i="24"/>
  <c r="Z37" i="24"/>
  <c r="X37" i="24"/>
  <c r="N37" i="24"/>
  <c r="L37" i="24"/>
  <c r="B37" i="24"/>
  <c r="Z36" i="24"/>
  <c r="T36" i="24"/>
  <c r="P36" i="24"/>
  <c r="X36" i="24" s="1"/>
  <c r="L36" i="24"/>
  <c r="H36" i="24"/>
  <c r="N36" i="24" s="1"/>
  <c r="D36" i="24"/>
  <c r="B36" i="24"/>
  <c r="Z35" i="24"/>
  <c r="X35" i="24"/>
  <c r="N35" i="24"/>
  <c r="L35" i="24"/>
  <c r="B35" i="24"/>
  <c r="X34" i="24"/>
  <c r="T34" i="24"/>
  <c r="Z34" i="24" s="1"/>
  <c r="P34" i="24"/>
  <c r="L34" i="24"/>
  <c r="H34" i="24"/>
  <c r="N34" i="24" s="1"/>
  <c r="D34" i="24"/>
  <c r="B34" i="24"/>
  <c r="Z33" i="24"/>
  <c r="X33" i="24"/>
  <c r="N33" i="24"/>
  <c r="L33" i="24"/>
  <c r="B33" i="24"/>
  <c r="X32" i="24"/>
  <c r="T32" i="24"/>
  <c r="Z32" i="24" s="1"/>
  <c r="P32" i="24"/>
  <c r="H32" i="24"/>
  <c r="N32" i="24" s="1"/>
  <c r="D32" i="24"/>
  <c r="L32" i="24" s="1"/>
  <c r="B32" i="24"/>
  <c r="Z31" i="24"/>
  <c r="X31" i="24"/>
  <c r="N31" i="24"/>
  <c r="L31" i="24"/>
  <c r="B31" i="24"/>
  <c r="T30" i="24"/>
  <c r="Z30" i="24" s="1"/>
  <c r="P30" i="24"/>
  <c r="X30" i="24" s="1"/>
  <c r="N30" i="24"/>
  <c r="H30" i="24"/>
  <c r="D30" i="24"/>
  <c r="L30" i="24" s="1"/>
  <c r="B30" i="24"/>
  <c r="X29" i="24"/>
  <c r="T29" i="24"/>
  <c r="P29" i="24"/>
  <c r="H29" i="24"/>
  <c r="D29" i="24"/>
  <c r="X25" i="24"/>
  <c r="Z25" i="24" s="1"/>
  <c r="L25" i="24"/>
  <c r="N25" i="24" s="1"/>
  <c r="B25" i="24"/>
  <c r="Z24" i="24"/>
  <c r="X24" i="24"/>
  <c r="N24" i="24"/>
  <c r="L24" i="24"/>
  <c r="B24" i="24"/>
  <c r="X23" i="24"/>
  <c r="T23" i="24"/>
  <c r="Z23" i="24" s="1"/>
  <c r="P23" i="24"/>
  <c r="L23" i="24"/>
  <c r="H23" i="24"/>
  <c r="N23" i="24" s="1"/>
  <c r="D23" i="24"/>
  <c r="T21" i="24"/>
  <c r="Z21" i="24" s="1"/>
  <c r="P21" i="24"/>
  <c r="X21" i="24" s="1"/>
  <c r="N21" i="24"/>
  <c r="L21" i="24"/>
  <c r="H21" i="24"/>
  <c r="D21" i="24"/>
  <c r="B21" i="24"/>
  <c r="T20" i="24"/>
  <c r="T12" i="24" s="1"/>
  <c r="P20" i="24"/>
  <c r="N20" i="24"/>
  <c r="H20" i="24"/>
  <c r="D20" i="24"/>
  <c r="L20" i="24" s="1"/>
  <c r="B20" i="24"/>
  <c r="Z19" i="24"/>
  <c r="X19" i="24"/>
  <c r="T19" i="24"/>
  <c r="P19" i="24"/>
  <c r="H19" i="24"/>
  <c r="N19" i="24" s="1"/>
  <c r="D19" i="24"/>
  <c r="B19" i="24"/>
  <c r="Z18" i="24"/>
  <c r="T18" i="24"/>
  <c r="X18" i="24" s="1"/>
  <c r="P18" i="24"/>
  <c r="N18" i="24"/>
  <c r="H18" i="24"/>
  <c r="D18" i="24"/>
  <c r="L18" i="24" s="1"/>
  <c r="B18" i="24"/>
  <c r="Z17" i="24"/>
  <c r="X17" i="24"/>
  <c r="T17" i="24"/>
  <c r="P17" i="24"/>
  <c r="H17" i="24"/>
  <c r="N17" i="24" s="1"/>
  <c r="D17" i="24"/>
  <c r="B17" i="24"/>
  <c r="Z16" i="24"/>
  <c r="T16" i="24"/>
  <c r="P16" i="24"/>
  <c r="X16" i="24" s="1"/>
  <c r="H16" i="24"/>
  <c r="D16" i="24"/>
  <c r="B16" i="24"/>
  <c r="T15" i="24"/>
  <c r="Z15" i="24" s="1"/>
  <c r="P15" i="24"/>
  <c r="N15" i="24"/>
  <c r="L15" i="24"/>
  <c r="H15" i="24"/>
  <c r="D15" i="24"/>
  <c r="B15" i="24"/>
  <c r="Z14" i="24"/>
  <c r="T14" i="24"/>
  <c r="P14" i="24"/>
  <c r="X14" i="24" s="1"/>
  <c r="N14" i="24"/>
  <c r="H14" i="24"/>
  <c r="L14" i="24" s="1"/>
  <c r="D14" i="24"/>
  <c r="B14" i="24"/>
  <c r="T13" i="24"/>
  <c r="Z13" i="24" s="1"/>
  <c r="P13" i="24"/>
  <c r="N13" i="24"/>
  <c r="L13" i="24"/>
  <c r="H13" i="24"/>
  <c r="D13" i="24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P12" i="23"/>
  <c r="R34" i="23" s="1"/>
  <c r="H12" i="23"/>
  <c r="J36" i="23" s="1"/>
  <c r="D12" i="23"/>
  <c r="F21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P13" i="22"/>
  <c r="H13" i="22"/>
  <c r="N13" i="22" s="1"/>
  <c r="D13" i="22"/>
  <c r="B13" i="22"/>
  <c r="T12" i="22"/>
  <c r="V24" i="22" s="1"/>
  <c r="P12" i="22"/>
  <c r="R20" i="22" s="1"/>
  <c r="H12" i="22"/>
  <c r="J18" i="22" s="1"/>
  <c r="D12" i="22"/>
  <c r="F24" i="22" s="1"/>
  <c r="D5" i="22"/>
  <c r="D4" i="22"/>
  <c r="Z63" i="21"/>
  <c r="X63" i="21"/>
  <c r="N63" i="21"/>
  <c r="L63" i="21"/>
  <c r="X59" i="21"/>
  <c r="T59" i="21"/>
  <c r="Z59" i="21" s="1"/>
  <c r="P59" i="21"/>
  <c r="L59" i="21"/>
  <c r="H59" i="21"/>
  <c r="N59" i="21" s="1"/>
  <c r="D59" i="21"/>
  <c r="Z57" i="21"/>
  <c r="X57" i="21"/>
  <c r="L57" i="21"/>
  <c r="N57" i="21" s="1"/>
  <c r="B57" i="21"/>
  <c r="Z56" i="21"/>
  <c r="T56" i="21"/>
  <c r="P56" i="21"/>
  <c r="X56" i="21" s="1"/>
  <c r="L56" i="21"/>
  <c r="N56" i="21" s="1"/>
  <c r="H56" i="21"/>
  <c r="D56" i="21"/>
  <c r="B56" i="21"/>
  <c r="Z55" i="21"/>
  <c r="X55" i="21"/>
  <c r="N55" i="21"/>
  <c r="L55" i="21"/>
  <c r="B55" i="21"/>
  <c r="T54" i="21"/>
  <c r="P54" i="21"/>
  <c r="H54" i="21"/>
  <c r="D54" i="21"/>
  <c r="L54" i="21" s="1"/>
  <c r="N54" i="21" s="1"/>
  <c r="B54" i="21"/>
  <c r="Z53" i="21"/>
  <c r="X53" i="21"/>
  <c r="N53" i="21"/>
  <c r="L53" i="21"/>
  <c r="B53" i="21"/>
  <c r="X52" i="21"/>
  <c r="Z52" i="21" s="1"/>
  <c r="L52" i="21"/>
  <c r="N52" i="21" s="1"/>
  <c r="B52" i="21"/>
  <c r="T51" i="21"/>
  <c r="P51" i="21"/>
  <c r="X51" i="21" s="1"/>
  <c r="Z51" i="21" s="1"/>
  <c r="L51" i="21"/>
  <c r="H51" i="21"/>
  <c r="N51" i="21" s="1"/>
  <c r="D51" i="21"/>
  <c r="B51" i="21"/>
  <c r="Z50" i="21"/>
  <c r="X50" i="21"/>
  <c r="L50" i="21"/>
  <c r="N50" i="21" s="1"/>
  <c r="B50" i="21"/>
  <c r="Z49" i="21"/>
  <c r="X49" i="21"/>
  <c r="N49" i="21"/>
  <c r="L49" i="21"/>
  <c r="B49" i="21"/>
  <c r="T48" i="21"/>
  <c r="P48" i="21"/>
  <c r="X48" i="21" s="1"/>
  <c r="Z48" i="21" s="1"/>
  <c r="H48" i="21"/>
  <c r="D48" i="21"/>
  <c r="L48" i="21" s="1"/>
  <c r="B48" i="21"/>
  <c r="Z47" i="21"/>
  <c r="X47" i="21"/>
  <c r="N47" i="21"/>
  <c r="L47" i="21"/>
  <c r="B47" i="21"/>
  <c r="T46" i="21"/>
  <c r="P46" i="21"/>
  <c r="X46" i="21" s="1"/>
  <c r="L46" i="21"/>
  <c r="N46" i="21" s="1"/>
  <c r="H46" i="21"/>
  <c r="D46" i="21"/>
  <c r="B46" i="21"/>
  <c r="X45" i="21"/>
  <c r="Z45" i="21" s="1"/>
  <c r="L45" i="21"/>
  <c r="N45" i="21" s="1"/>
  <c r="B45" i="21"/>
  <c r="X44" i="21"/>
  <c r="Z44" i="21" s="1"/>
  <c r="T44" i="21"/>
  <c r="P44" i="21"/>
  <c r="H44" i="21"/>
  <c r="D44" i="21"/>
  <c r="B44" i="21"/>
  <c r="Z43" i="21"/>
  <c r="X43" i="21"/>
  <c r="N43" i="21"/>
  <c r="L43" i="21"/>
  <c r="B43" i="21"/>
  <c r="T42" i="21"/>
  <c r="P42" i="21"/>
  <c r="H42" i="21"/>
  <c r="D42" i="21"/>
  <c r="L42" i="21" s="1"/>
  <c r="N42" i="21" s="1"/>
  <c r="B42" i="21"/>
  <c r="X41" i="21"/>
  <c r="Z41" i="21" s="1"/>
  <c r="N41" i="21"/>
  <c r="L41" i="21"/>
  <c r="B41" i="21"/>
  <c r="T40" i="21"/>
  <c r="P40" i="21"/>
  <c r="X40" i="21" s="1"/>
  <c r="Z40" i="21" s="1"/>
  <c r="H40" i="21"/>
  <c r="N40" i="21" s="1"/>
  <c r="D40" i="21"/>
  <c r="L40" i="21" s="1"/>
  <c r="B40" i="21"/>
  <c r="Z39" i="21"/>
  <c r="X39" i="21"/>
  <c r="N39" i="21"/>
  <c r="L39" i="21"/>
  <c r="B39" i="21"/>
  <c r="Z38" i="21"/>
  <c r="X38" i="21"/>
  <c r="L38" i="21"/>
  <c r="N38" i="21" s="1"/>
  <c r="B38" i="21"/>
  <c r="X37" i="21"/>
  <c r="T37" i="21"/>
  <c r="Z37" i="21" s="1"/>
  <c r="P37" i="21"/>
  <c r="N37" i="21"/>
  <c r="H37" i="21"/>
  <c r="L37" i="21" s="1"/>
  <c r="D37" i="21"/>
  <c r="B37" i="21"/>
  <c r="X36" i="21"/>
  <c r="Z36" i="21" s="1"/>
  <c r="L36" i="21"/>
  <c r="N36" i="21" s="1"/>
  <c r="B36" i="21"/>
  <c r="T35" i="21"/>
  <c r="X35" i="21" s="1"/>
  <c r="Z35" i="21" s="1"/>
  <c r="P35" i="21"/>
  <c r="H35" i="21"/>
  <c r="N35" i="21" s="1"/>
  <c r="D35" i="21"/>
  <c r="L35" i="21" s="1"/>
  <c r="B35" i="21"/>
  <c r="X34" i="21"/>
  <c r="Z34" i="21" s="1"/>
  <c r="N34" i="21"/>
  <c r="L34" i="21"/>
  <c r="B34" i="21"/>
  <c r="T33" i="21"/>
  <c r="P33" i="21"/>
  <c r="X33" i="21" s="1"/>
  <c r="H33" i="21"/>
  <c r="D33" i="21"/>
  <c r="L33" i="21" s="1"/>
  <c r="N33" i="21" s="1"/>
  <c r="B33" i="21"/>
  <c r="X32" i="21"/>
  <c r="Z32" i="21" s="1"/>
  <c r="L32" i="21"/>
  <c r="N32" i="21" s="1"/>
  <c r="B32" i="21"/>
  <c r="Z31" i="21"/>
  <c r="X31" i="21"/>
  <c r="N31" i="21"/>
  <c r="L31" i="21"/>
  <c r="B31" i="21"/>
  <c r="X30" i="21"/>
  <c r="Z30" i="21" s="1"/>
  <c r="N30" i="21"/>
  <c r="L30" i="21"/>
  <c r="B30" i="21"/>
  <c r="Z29" i="21"/>
  <c r="X29" i="21"/>
  <c r="L29" i="21"/>
  <c r="N29" i="21" s="1"/>
  <c r="B29" i="21"/>
  <c r="X28" i="21"/>
  <c r="Z28" i="21" s="1"/>
  <c r="L28" i="21"/>
  <c r="N28" i="21" s="1"/>
  <c r="B28" i="21"/>
  <c r="Z27" i="21"/>
  <c r="X27" i="21"/>
  <c r="N27" i="21"/>
  <c r="L27" i="21"/>
  <c r="B27" i="21"/>
  <c r="Z26" i="21"/>
  <c r="X26" i="21"/>
  <c r="L26" i="21"/>
  <c r="N26" i="21" s="1"/>
  <c r="F26" i="21"/>
  <c r="B26" i="21"/>
  <c r="X25" i="21"/>
  <c r="Z25" i="21" s="1"/>
  <c r="N25" i="21"/>
  <c r="L25" i="21"/>
  <c r="B25" i="21"/>
  <c r="T24" i="21"/>
  <c r="P24" i="21"/>
  <c r="X24" i="21" s="1"/>
  <c r="Z24" i="21" s="1"/>
  <c r="H24" i="21"/>
  <c r="N24" i="21" s="1"/>
  <c r="D24" i="21"/>
  <c r="L24" i="21" s="1"/>
  <c r="B24" i="21"/>
  <c r="Z23" i="21"/>
  <c r="T23" i="21"/>
  <c r="X23" i="21" s="1"/>
  <c r="P23" i="21"/>
  <c r="H23" i="21"/>
  <c r="D23" i="21"/>
  <c r="L23" i="21" s="1"/>
  <c r="Z19" i="21"/>
  <c r="X19" i="21"/>
  <c r="N19" i="21"/>
  <c r="L19" i="21"/>
  <c r="B19" i="21"/>
  <c r="T18" i="21"/>
  <c r="P18" i="21"/>
  <c r="X18" i="21" s="1"/>
  <c r="L18" i="21"/>
  <c r="N18" i="21" s="1"/>
  <c r="H18" i="21"/>
  <c r="D18" i="21"/>
  <c r="T16" i="21"/>
  <c r="Z16" i="21" s="1"/>
  <c r="P16" i="21"/>
  <c r="H16" i="21"/>
  <c r="N16" i="21" s="1"/>
  <c r="D16" i="21"/>
  <c r="L16" i="21" s="1"/>
  <c r="B16" i="21"/>
  <c r="T15" i="21"/>
  <c r="P15" i="21"/>
  <c r="H15" i="21"/>
  <c r="N15" i="21" s="1"/>
  <c r="D15" i="21"/>
  <c r="B15" i="21"/>
  <c r="X14" i="21"/>
  <c r="T14" i="21"/>
  <c r="Z14" i="21" s="1"/>
  <c r="P14" i="21"/>
  <c r="N14" i="21"/>
  <c r="L14" i="21"/>
  <c r="H14" i="21"/>
  <c r="D14" i="21"/>
  <c r="B14" i="21"/>
  <c r="Z13" i="21"/>
  <c r="T13" i="21"/>
  <c r="P13" i="21"/>
  <c r="X13" i="21" s="1"/>
  <c r="N13" i="21"/>
  <c r="H13" i="21"/>
  <c r="D13" i="21"/>
  <c r="L13" i="21" s="1"/>
  <c r="B13" i="21"/>
  <c r="D12" i="21"/>
  <c r="F33" i="21" s="1"/>
  <c r="D4" i="21"/>
  <c r="B39" i="20"/>
  <c r="B38" i="20"/>
  <c r="T34" i="20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P22" i="20"/>
  <c r="H22" i="20"/>
  <c r="N22" i="20" s="1"/>
  <c r="D22" i="20"/>
  <c r="B22" i="20"/>
  <c r="T21" i="20"/>
  <c r="Z21" i="20" s="1"/>
  <c r="P21" i="20"/>
  <c r="H21" i="20"/>
  <c r="D21" i="20"/>
  <c r="B21" i="20"/>
  <c r="T20" i="20"/>
  <c r="Z20" i="20" s="1"/>
  <c r="P20" i="20"/>
  <c r="H20" i="20"/>
  <c r="D20" i="20"/>
  <c r="T16" i="20"/>
  <c r="Z16" i="20" s="1"/>
  <c r="P16" i="20"/>
  <c r="H16" i="20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0" i="20" s="1"/>
  <c r="P12" i="20"/>
  <c r="R22" i="20" s="1"/>
  <c r="H12" i="20"/>
  <c r="J24" i="20" s="1"/>
  <c r="D12" i="20"/>
  <c r="D5" i="20"/>
  <c r="D4" i="20"/>
  <c r="B39" i="19"/>
  <c r="B38" i="19"/>
  <c r="T34" i="19"/>
  <c r="Z34" i="19" s="1"/>
  <c r="P34" i="19"/>
  <c r="H34" i="19"/>
  <c r="N34" i="19" s="1"/>
  <c r="D34" i="19"/>
  <c r="T33" i="19"/>
  <c r="P33" i="19"/>
  <c r="H33" i="19"/>
  <c r="N33" i="19" s="1"/>
  <c r="D33" i="19"/>
  <c r="T29" i="19"/>
  <c r="P29" i="19"/>
  <c r="H29" i="19"/>
  <c r="N29" i="19" s="1"/>
  <c r="D29" i="19"/>
  <c r="T25" i="19"/>
  <c r="P25" i="19"/>
  <c r="H25" i="19"/>
  <c r="N25" i="19" s="1"/>
  <c r="D25" i="19"/>
  <c r="B25" i="19"/>
  <c r="T24" i="19"/>
  <c r="Z24" i="19" s="1"/>
  <c r="P24" i="19"/>
  <c r="H24" i="19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P16" i="19"/>
  <c r="H16" i="19"/>
  <c r="N16" i="19" s="1"/>
  <c r="D16" i="19"/>
  <c r="B16" i="19"/>
  <c r="T15" i="19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P12" i="19"/>
  <c r="R22" i="19" s="1"/>
  <c r="H12" i="19"/>
  <c r="D12" i="19"/>
  <c r="F20" i="19" s="1"/>
  <c r="D5" i="19"/>
  <c r="D4" i="19"/>
  <c r="Z208" i="18"/>
  <c r="X208" i="18"/>
  <c r="N208" i="18"/>
  <c r="L208" i="18"/>
  <c r="T204" i="18"/>
  <c r="X204" i="18" s="1"/>
  <c r="Z204" i="18" s="1"/>
  <c r="P204" i="18"/>
  <c r="H204" i="18"/>
  <c r="N204" i="18" s="1"/>
  <c r="D204" i="18"/>
  <c r="L204" i="18" s="1"/>
  <c r="B204" i="18"/>
  <c r="T203" i="18"/>
  <c r="P203" i="18"/>
  <c r="H203" i="18"/>
  <c r="D203" i="18"/>
  <c r="B203" i="18"/>
  <c r="X202" i="18"/>
  <c r="T202" i="18"/>
  <c r="Z202" i="18" s="1"/>
  <c r="P202" i="18"/>
  <c r="N202" i="18"/>
  <c r="H202" i="18"/>
  <c r="L202" i="18" s="1"/>
  <c r="D202" i="18"/>
  <c r="B202" i="18"/>
  <c r="Z201" i="18"/>
  <c r="X201" i="18"/>
  <c r="T201" i="18"/>
  <c r="P201" i="18"/>
  <c r="H201" i="18"/>
  <c r="D201" i="18"/>
  <c r="B201" i="18"/>
  <c r="T200" i="18"/>
  <c r="P200" i="18"/>
  <c r="X200" i="18" s="1"/>
  <c r="Z200" i="18" s="1"/>
  <c r="L200" i="18"/>
  <c r="H200" i="18"/>
  <c r="N200" i="18" s="1"/>
  <c r="D200" i="18"/>
  <c r="B200" i="18"/>
  <c r="X197" i="18"/>
  <c r="Z197" i="18" s="1"/>
  <c r="N197" i="18"/>
  <c r="L197" i="18"/>
  <c r="B197" i="18"/>
  <c r="T196" i="18"/>
  <c r="Z196" i="18" s="1"/>
  <c r="P196" i="18"/>
  <c r="X196" i="18" s="1"/>
  <c r="H196" i="18"/>
  <c r="D196" i="18"/>
  <c r="L196" i="18" s="1"/>
  <c r="N196" i="18" s="1"/>
  <c r="B196" i="18"/>
  <c r="X195" i="18"/>
  <c r="Z195" i="18" s="1"/>
  <c r="L195" i="18"/>
  <c r="N195" i="18" s="1"/>
  <c r="B195" i="18"/>
  <c r="Z194" i="18"/>
  <c r="X194" i="18"/>
  <c r="N194" i="18"/>
  <c r="L194" i="18"/>
  <c r="B194" i="18"/>
  <c r="X193" i="18"/>
  <c r="Z193" i="18" s="1"/>
  <c r="N193" i="18"/>
  <c r="L193" i="18"/>
  <c r="B193" i="18"/>
  <c r="T192" i="18"/>
  <c r="Z192" i="18" s="1"/>
  <c r="P192" i="18"/>
  <c r="X192" i="18" s="1"/>
  <c r="H192" i="18"/>
  <c r="D192" i="18"/>
  <c r="L192" i="18" s="1"/>
  <c r="N192" i="18" s="1"/>
  <c r="B192" i="18"/>
  <c r="Z191" i="18"/>
  <c r="X191" i="18"/>
  <c r="L191" i="18"/>
  <c r="N191" i="18" s="1"/>
  <c r="B191" i="18"/>
  <c r="T190" i="18"/>
  <c r="P190" i="18"/>
  <c r="X190" i="18" s="1"/>
  <c r="Z190" i="18" s="1"/>
  <c r="L190" i="18"/>
  <c r="H190" i="18"/>
  <c r="N190" i="18" s="1"/>
  <c r="D190" i="18"/>
  <c r="B190" i="18"/>
  <c r="Z189" i="18"/>
  <c r="X189" i="18"/>
  <c r="L189" i="18"/>
  <c r="N189" i="18" s="1"/>
  <c r="B189" i="18"/>
  <c r="X188" i="18"/>
  <c r="Z188" i="18" s="1"/>
  <c r="L188" i="18"/>
  <c r="N188" i="18" s="1"/>
  <c r="B188" i="18"/>
  <c r="T187" i="18"/>
  <c r="P187" i="18"/>
  <c r="X187" i="18" s="1"/>
  <c r="Z187" i="18" s="1"/>
  <c r="H187" i="18"/>
  <c r="N187" i="18" s="1"/>
  <c r="D187" i="18"/>
  <c r="L187" i="18" s="1"/>
  <c r="B187" i="18"/>
  <c r="Z186" i="18"/>
  <c r="X186" i="18"/>
  <c r="N186" i="18"/>
  <c r="L186" i="18"/>
  <c r="B186" i="18"/>
  <c r="Z185" i="18"/>
  <c r="X185" i="18"/>
  <c r="L185" i="18"/>
  <c r="N185" i="18" s="1"/>
  <c r="B185" i="18"/>
  <c r="X184" i="18"/>
  <c r="Z184" i="18" s="1"/>
  <c r="L184" i="18"/>
  <c r="N184" i="18" s="1"/>
  <c r="B184" i="18"/>
  <c r="Z183" i="18"/>
  <c r="X183" i="18"/>
  <c r="L183" i="18"/>
  <c r="N183" i="18" s="1"/>
  <c r="B183" i="18"/>
  <c r="Z182" i="18"/>
  <c r="X182" i="18"/>
  <c r="N182" i="18"/>
  <c r="L182" i="18"/>
  <c r="B182" i="18"/>
  <c r="X181" i="18"/>
  <c r="Z181" i="18" s="1"/>
  <c r="N181" i="18"/>
  <c r="L181" i="18"/>
  <c r="B181" i="18"/>
  <c r="T180" i="18"/>
  <c r="Z180" i="18" s="1"/>
  <c r="P180" i="18"/>
  <c r="X180" i="18" s="1"/>
  <c r="H180" i="18"/>
  <c r="D180" i="18"/>
  <c r="L180" i="18" s="1"/>
  <c r="N180" i="18" s="1"/>
  <c r="B180" i="18"/>
  <c r="Z179" i="18"/>
  <c r="X179" i="18"/>
  <c r="L179" i="18"/>
  <c r="N179" i="18" s="1"/>
  <c r="B179" i="18"/>
  <c r="Z178" i="18"/>
  <c r="X178" i="18"/>
  <c r="N178" i="18"/>
  <c r="L178" i="18"/>
  <c r="B178" i="18"/>
  <c r="T177" i="18"/>
  <c r="P177" i="18"/>
  <c r="H177" i="18"/>
  <c r="D177" i="18"/>
  <c r="L177" i="18" s="1"/>
  <c r="N177" i="18" s="1"/>
  <c r="B177" i="18"/>
  <c r="X176" i="18"/>
  <c r="Z176" i="18" s="1"/>
  <c r="L176" i="18"/>
  <c r="N176" i="18" s="1"/>
  <c r="B176" i="18"/>
  <c r="X175" i="18"/>
  <c r="Z175" i="18" s="1"/>
  <c r="L175" i="18"/>
  <c r="N175" i="18" s="1"/>
  <c r="B175" i="18"/>
  <c r="Z174" i="18"/>
  <c r="X174" i="18"/>
  <c r="N174" i="18"/>
  <c r="L174" i="18"/>
  <c r="B174" i="18"/>
  <c r="X173" i="18"/>
  <c r="Z173" i="18" s="1"/>
  <c r="N173" i="18"/>
  <c r="L173" i="18"/>
  <c r="B173" i="18"/>
  <c r="T172" i="18"/>
  <c r="P172" i="18"/>
  <c r="X172" i="18" s="1"/>
  <c r="H172" i="18"/>
  <c r="D172" i="18"/>
  <c r="L172" i="18" s="1"/>
  <c r="N172" i="18" s="1"/>
  <c r="B172" i="18"/>
  <c r="X171" i="18"/>
  <c r="Z171" i="18" s="1"/>
  <c r="L171" i="18"/>
  <c r="N171" i="18" s="1"/>
  <c r="B171" i="18"/>
  <c r="Z170" i="18"/>
  <c r="X170" i="18"/>
  <c r="N170" i="18"/>
  <c r="L170" i="18"/>
  <c r="B170" i="18"/>
  <c r="X169" i="18"/>
  <c r="Z169" i="18" s="1"/>
  <c r="N169" i="18"/>
  <c r="L169" i="18"/>
  <c r="B169" i="18"/>
  <c r="T168" i="18"/>
  <c r="Z168" i="18" s="1"/>
  <c r="P168" i="18"/>
  <c r="X168" i="18" s="1"/>
  <c r="H168" i="18"/>
  <c r="D168" i="18"/>
  <c r="L168" i="18" s="1"/>
  <c r="N168" i="18" s="1"/>
  <c r="B168" i="18"/>
  <c r="X167" i="18"/>
  <c r="Z167" i="18" s="1"/>
  <c r="L167" i="18"/>
  <c r="N167" i="18" s="1"/>
  <c r="B167" i="18"/>
  <c r="Z166" i="18"/>
  <c r="X166" i="18"/>
  <c r="N166" i="18"/>
  <c r="L166" i="18"/>
  <c r="B166" i="18"/>
  <c r="X165" i="18"/>
  <c r="Z165" i="18" s="1"/>
  <c r="N165" i="18"/>
  <c r="L165" i="18"/>
  <c r="B165" i="18"/>
  <c r="T164" i="18"/>
  <c r="P164" i="18"/>
  <c r="X164" i="18" s="1"/>
  <c r="H164" i="18"/>
  <c r="D164" i="18"/>
  <c r="L164" i="18" s="1"/>
  <c r="N164" i="18" s="1"/>
  <c r="B164" i="18"/>
  <c r="X163" i="18"/>
  <c r="Z163" i="18" s="1"/>
  <c r="L163" i="18"/>
  <c r="N163" i="18" s="1"/>
  <c r="B163" i="18"/>
  <c r="T162" i="18"/>
  <c r="P162" i="18"/>
  <c r="X162" i="18" s="1"/>
  <c r="Z162" i="18" s="1"/>
  <c r="L162" i="18"/>
  <c r="H162" i="18"/>
  <c r="N162" i="18" s="1"/>
  <c r="D162" i="18"/>
  <c r="B162" i="18"/>
  <c r="Z161" i="18"/>
  <c r="X161" i="18"/>
  <c r="N161" i="18"/>
  <c r="L161" i="18"/>
  <c r="B161" i="18"/>
  <c r="X160" i="18"/>
  <c r="Z160" i="18" s="1"/>
  <c r="L160" i="18"/>
  <c r="N160" i="18" s="1"/>
  <c r="B160" i="18"/>
  <c r="T159" i="18"/>
  <c r="P159" i="18"/>
  <c r="X159" i="18" s="1"/>
  <c r="Z159" i="18" s="1"/>
  <c r="H159" i="18"/>
  <c r="D159" i="18"/>
  <c r="B159" i="18"/>
  <c r="Z158" i="18"/>
  <c r="X158" i="18"/>
  <c r="N158" i="18"/>
  <c r="L158" i="18"/>
  <c r="B158" i="18"/>
  <c r="T157" i="18"/>
  <c r="P157" i="18"/>
  <c r="L157" i="18"/>
  <c r="N157" i="18" s="1"/>
  <c r="H157" i="18"/>
  <c r="D157" i="18"/>
  <c r="B157" i="18"/>
  <c r="X156" i="18"/>
  <c r="Z156" i="18" s="1"/>
  <c r="L156" i="18"/>
  <c r="N156" i="18" s="1"/>
  <c r="B156" i="18"/>
  <c r="X155" i="18"/>
  <c r="Z155" i="18" s="1"/>
  <c r="T155" i="18"/>
  <c r="P155" i="18"/>
  <c r="H155" i="18"/>
  <c r="D155" i="18"/>
  <c r="B155" i="18"/>
  <c r="Z154" i="18"/>
  <c r="X154" i="18"/>
  <c r="N154" i="18"/>
  <c r="L154" i="18"/>
  <c r="B154" i="18"/>
  <c r="Z153" i="18"/>
  <c r="X153" i="18"/>
  <c r="N153" i="18"/>
  <c r="L153" i="18"/>
  <c r="B153" i="18"/>
  <c r="T152" i="18"/>
  <c r="P152" i="18"/>
  <c r="X152" i="18" s="1"/>
  <c r="H152" i="18"/>
  <c r="D152" i="18"/>
  <c r="L152" i="18" s="1"/>
  <c r="N152" i="18" s="1"/>
  <c r="B152" i="18"/>
  <c r="Z151" i="18"/>
  <c r="X151" i="18"/>
  <c r="L151" i="18"/>
  <c r="N151" i="18" s="1"/>
  <c r="B151" i="18"/>
  <c r="T150" i="18"/>
  <c r="P150" i="18"/>
  <c r="X150" i="18" s="1"/>
  <c r="Z150" i="18" s="1"/>
  <c r="L150" i="18"/>
  <c r="H150" i="18"/>
  <c r="N150" i="18" s="1"/>
  <c r="D150" i="18"/>
  <c r="B150" i="18"/>
  <c r="Z149" i="18"/>
  <c r="X149" i="18"/>
  <c r="N149" i="18"/>
  <c r="L149" i="18"/>
  <c r="B149" i="18"/>
  <c r="X148" i="18"/>
  <c r="T148" i="18"/>
  <c r="Z148" i="18" s="1"/>
  <c r="P148" i="18"/>
  <c r="H148" i="18"/>
  <c r="L148" i="18" s="1"/>
  <c r="N148" i="18" s="1"/>
  <c r="D148" i="18"/>
  <c r="B148" i="18"/>
  <c r="Z147" i="18"/>
  <c r="X147" i="18"/>
  <c r="N147" i="18"/>
  <c r="L147" i="18"/>
  <c r="B147" i="18"/>
  <c r="Z146" i="18"/>
  <c r="X146" i="18"/>
  <c r="N146" i="18"/>
  <c r="L146" i="18"/>
  <c r="B146" i="18"/>
  <c r="T145" i="18"/>
  <c r="Z145" i="18" s="1"/>
  <c r="P145" i="18"/>
  <c r="X145" i="18" s="1"/>
  <c r="N145" i="18"/>
  <c r="L145" i="18"/>
  <c r="H145" i="18"/>
  <c r="D145" i="18"/>
  <c r="B145" i="18"/>
  <c r="X144" i="18"/>
  <c r="Z144" i="18" s="1"/>
  <c r="L144" i="18"/>
  <c r="N144" i="18" s="1"/>
  <c r="B144" i="18"/>
  <c r="X143" i="18"/>
  <c r="Z143" i="18" s="1"/>
  <c r="N143" i="18"/>
  <c r="L143" i="18"/>
  <c r="B143" i="18"/>
  <c r="Z142" i="18"/>
  <c r="T142" i="18"/>
  <c r="X142" i="18" s="1"/>
  <c r="P142" i="18"/>
  <c r="H142" i="18"/>
  <c r="D142" i="18"/>
  <c r="L142" i="18" s="1"/>
  <c r="B142" i="18"/>
  <c r="Z141" i="18"/>
  <c r="X141" i="18"/>
  <c r="N141" i="18"/>
  <c r="L141" i="18"/>
  <c r="B141" i="18"/>
  <c r="T140" i="18"/>
  <c r="P140" i="18"/>
  <c r="X140" i="18" s="1"/>
  <c r="H140" i="18"/>
  <c r="D140" i="18"/>
  <c r="L140" i="18" s="1"/>
  <c r="N140" i="18" s="1"/>
  <c r="B140" i="18"/>
  <c r="X139" i="18"/>
  <c r="Z139" i="18" s="1"/>
  <c r="L139" i="18"/>
  <c r="N139" i="18" s="1"/>
  <c r="B139" i="18"/>
  <c r="T138" i="18"/>
  <c r="P138" i="18"/>
  <c r="X138" i="18" s="1"/>
  <c r="Z138" i="18" s="1"/>
  <c r="L138" i="18"/>
  <c r="H138" i="18"/>
  <c r="N138" i="18" s="1"/>
  <c r="D138" i="18"/>
  <c r="B138" i="18"/>
  <c r="Z137" i="18"/>
  <c r="X137" i="18"/>
  <c r="N137" i="18"/>
  <c r="L137" i="18"/>
  <c r="B137" i="18"/>
  <c r="X136" i="18"/>
  <c r="T136" i="18"/>
  <c r="Z136" i="18" s="1"/>
  <c r="P136" i="18"/>
  <c r="H136" i="18"/>
  <c r="L136" i="18" s="1"/>
  <c r="N136" i="18" s="1"/>
  <c r="D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X132" i="18"/>
  <c r="Z132" i="18" s="1"/>
  <c r="L132" i="18"/>
  <c r="N132" i="18" s="1"/>
  <c r="B132" i="18"/>
  <c r="Z131" i="18"/>
  <c r="X131" i="18"/>
  <c r="L131" i="18"/>
  <c r="N131" i="18" s="1"/>
  <c r="B131" i="18"/>
  <c r="Z130" i="18"/>
  <c r="X130" i="18"/>
  <c r="N130" i="18"/>
  <c r="L130" i="18"/>
  <c r="B130" i="18"/>
  <c r="Z129" i="18"/>
  <c r="X129" i="18"/>
  <c r="N129" i="18"/>
  <c r="L129" i="18"/>
  <c r="B129" i="18"/>
  <c r="T128" i="18"/>
  <c r="P128" i="18"/>
  <c r="X128" i="18" s="1"/>
  <c r="H128" i="18"/>
  <c r="D128" i="18"/>
  <c r="L128" i="18" s="1"/>
  <c r="N128" i="18" s="1"/>
  <c r="B128" i="18"/>
  <c r="X127" i="18"/>
  <c r="Z127" i="18" s="1"/>
  <c r="L127" i="18"/>
  <c r="N127" i="18" s="1"/>
  <c r="B127" i="18"/>
  <c r="Z126" i="18"/>
  <c r="X126" i="18"/>
  <c r="N126" i="18"/>
  <c r="L126" i="18"/>
  <c r="B126" i="18"/>
  <c r="Z125" i="18"/>
  <c r="X125" i="18"/>
  <c r="N125" i="18"/>
  <c r="L125" i="18"/>
  <c r="B125" i="18"/>
  <c r="X124" i="18"/>
  <c r="Z124" i="18" s="1"/>
  <c r="L124" i="18"/>
  <c r="N124" i="18" s="1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X120" i="18"/>
  <c r="Z120" i="18" s="1"/>
  <c r="L120" i="18"/>
  <c r="N120" i="18" s="1"/>
  <c r="B120" i="18"/>
  <c r="X119" i="18"/>
  <c r="Z119" i="18" s="1"/>
  <c r="L119" i="18"/>
  <c r="N119" i="18" s="1"/>
  <c r="B119" i="18"/>
  <c r="Z118" i="18"/>
  <c r="X118" i="18"/>
  <c r="N118" i="18"/>
  <c r="L118" i="18"/>
  <c r="B118" i="18"/>
  <c r="T117" i="18"/>
  <c r="P117" i="18"/>
  <c r="H117" i="18"/>
  <c r="D117" i="18"/>
  <c r="L117" i="18" s="1"/>
  <c r="N117" i="18" s="1"/>
  <c r="B117" i="18"/>
  <c r="X116" i="18"/>
  <c r="T116" i="18"/>
  <c r="Z116" i="18" s="1"/>
  <c r="P116" i="18"/>
  <c r="H116" i="18"/>
  <c r="D116" i="18"/>
  <c r="L116" i="18" s="1"/>
  <c r="N116" i="18" s="1"/>
  <c r="Z112" i="18"/>
  <c r="X112" i="18"/>
  <c r="N112" i="18"/>
  <c r="L112" i="18"/>
  <c r="B112" i="18"/>
  <c r="Z111" i="18"/>
  <c r="X111" i="18"/>
  <c r="L111" i="18"/>
  <c r="N111" i="18" s="1"/>
  <c r="B111" i="18"/>
  <c r="X110" i="18"/>
  <c r="Z110" i="18" s="1"/>
  <c r="N110" i="18"/>
  <c r="L110" i="18"/>
  <c r="B110" i="18"/>
  <c r="Z109" i="18"/>
  <c r="X109" i="18"/>
  <c r="N109" i="18"/>
  <c r="L109" i="18"/>
  <c r="B109" i="18"/>
  <c r="X108" i="18"/>
  <c r="Z108" i="18" s="1"/>
  <c r="L108" i="18"/>
  <c r="N108" i="18" s="1"/>
  <c r="B108" i="18"/>
  <c r="X107" i="18"/>
  <c r="Z107" i="18" s="1"/>
  <c r="N107" i="18"/>
  <c r="L107" i="18"/>
  <c r="B107" i="18"/>
  <c r="Z106" i="18"/>
  <c r="X106" i="18"/>
  <c r="L106" i="18"/>
  <c r="N106" i="18" s="1"/>
  <c r="B106" i="18"/>
  <c r="Z105" i="18"/>
  <c r="X105" i="18"/>
  <c r="N105" i="18"/>
  <c r="L105" i="18"/>
  <c r="B105" i="18"/>
  <c r="Z104" i="18"/>
  <c r="X104" i="18"/>
  <c r="N104" i="18"/>
  <c r="L104" i="18"/>
  <c r="J104" i="18"/>
  <c r="B104" i="18"/>
  <c r="Z103" i="18"/>
  <c r="X103" i="18"/>
  <c r="L103" i="18"/>
  <c r="N103" i="18" s="1"/>
  <c r="B103" i="18"/>
  <c r="X102" i="18"/>
  <c r="Z102" i="18" s="1"/>
  <c r="N102" i="18"/>
  <c r="L102" i="18"/>
  <c r="B102" i="18"/>
  <c r="Z101" i="18"/>
  <c r="X101" i="18"/>
  <c r="N101" i="18"/>
  <c r="L101" i="18"/>
  <c r="B101" i="18"/>
  <c r="X100" i="18"/>
  <c r="Z100" i="18" s="1"/>
  <c r="L100" i="18"/>
  <c r="N100" i="18" s="1"/>
  <c r="B100" i="18"/>
  <c r="X99" i="18"/>
  <c r="Z99" i="18" s="1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X96" i="18"/>
  <c r="Z96" i="18" s="1"/>
  <c r="L96" i="18"/>
  <c r="N96" i="18" s="1"/>
  <c r="B96" i="18"/>
  <c r="Z95" i="18"/>
  <c r="X95" i="18"/>
  <c r="L95" i="18"/>
  <c r="N95" i="18" s="1"/>
  <c r="B95" i="18"/>
  <c r="Z94" i="18"/>
  <c r="X94" i="18"/>
  <c r="N94" i="18"/>
  <c r="L94" i="18"/>
  <c r="B94" i="18"/>
  <c r="Z93" i="18"/>
  <c r="X93" i="18"/>
  <c r="N93" i="18"/>
  <c r="L93" i="18"/>
  <c r="B93" i="18"/>
  <c r="X92" i="18"/>
  <c r="Z92" i="18" s="1"/>
  <c r="L92" i="18"/>
  <c r="N92" i="18" s="1"/>
  <c r="B92" i="18"/>
  <c r="Z91" i="18"/>
  <c r="X91" i="18"/>
  <c r="N91" i="18"/>
  <c r="L91" i="18"/>
  <c r="B91" i="18"/>
  <c r="Z90" i="18"/>
  <c r="X90" i="18"/>
  <c r="N90" i="18"/>
  <c r="L90" i="18"/>
  <c r="B90" i="18"/>
  <c r="Z89" i="18"/>
  <c r="X89" i="18"/>
  <c r="N89" i="18"/>
  <c r="L89" i="18"/>
  <c r="B89" i="18"/>
  <c r="X88" i="18"/>
  <c r="Z88" i="18" s="1"/>
  <c r="L88" i="18"/>
  <c r="N88" i="18" s="1"/>
  <c r="B88" i="18"/>
  <c r="Z87" i="18"/>
  <c r="X87" i="18"/>
  <c r="L87" i="18"/>
  <c r="N87" i="18" s="1"/>
  <c r="B87" i="18"/>
  <c r="Z86" i="18"/>
  <c r="X86" i="18"/>
  <c r="N86" i="18"/>
  <c r="L86" i="18"/>
  <c r="B86" i="18"/>
  <c r="Z85" i="18"/>
  <c r="X85" i="18"/>
  <c r="N85" i="18"/>
  <c r="L85" i="18"/>
  <c r="B85" i="18"/>
  <c r="X84" i="18"/>
  <c r="Z84" i="18" s="1"/>
  <c r="L84" i="18"/>
  <c r="N84" i="18" s="1"/>
  <c r="B84" i="18"/>
  <c r="X83" i="18"/>
  <c r="Z83" i="18" s="1"/>
  <c r="N83" i="18"/>
  <c r="L83" i="18"/>
  <c r="B83" i="18"/>
  <c r="Z82" i="18"/>
  <c r="X82" i="18"/>
  <c r="N82" i="18"/>
  <c r="L82" i="18"/>
  <c r="B82" i="18"/>
  <c r="Z81" i="18"/>
  <c r="X81" i="18"/>
  <c r="N81" i="18"/>
  <c r="L81" i="18"/>
  <c r="B81" i="18"/>
  <c r="X80" i="18"/>
  <c r="Z80" i="18" s="1"/>
  <c r="L80" i="18"/>
  <c r="N80" i="18" s="1"/>
  <c r="B80" i="18"/>
  <c r="Z79" i="18"/>
  <c r="X79" i="18"/>
  <c r="N79" i="18"/>
  <c r="L79" i="18"/>
  <c r="B79" i="18"/>
  <c r="Z78" i="18"/>
  <c r="X78" i="18"/>
  <c r="T78" i="18"/>
  <c r="P78" i="18"/>
  <c r="L78" i="18"/>
  <c r="H78" i="18"/>
  <c r="N78" i="18" s="1"/>
  <c r="D78" i="18"/>
  <c r="T76" i="18"/>
  <c r="P76" i="18"/>
  <c r="X76" i="18" s="1"/>
  <c r="Z76" i="18" s="1"/>
  <c r="L76" i="18"/>
  <c r="N76" i="18" s="1"/>
  <c r="H76" i="18"/>
  <c r="D76" i="18"/>
  <c r="B76" i="18"/>
  <c r="T75" i="18"/>
  <c r="Z75" i="18" s="1"/>
  <c r="P75" i="18"/>
  <c r="X75" i="18" s="1"/>
  <c r="H75" i="18"/>
  <c r="D75" i="18"/>
  <c r="L75" i="18" s="1"/>
  <c r="N75" i="18" s="1"/>
  <c r="B75" i="18"/>
  <c r="X74" i="18"/>
  <c r="T74" i="18"/>
  <c r="Z74" i="18" s="1"/>
  <c r="P74" i="18"/>
  <c r="H74" i="18"/>
  <c r="D74" i="18"/>
  <c r="B74" i="18"/>
  <c r="T73" i="18"/>
  <c r="X73" i="18" s="1"/>
  <c r="Z73" i="18" s="1"/>
  <c r="P73" i="18"/>
  <c r="L73" i="18"/>
  <c r="N73" i="18" s="1"/>
  <c r="H73" i="18"/>
  <c r="D73" i="18"/>
  <c r="B73" i="18"/>
  <c r="X72" i="18"/>
  <c r="Z72" i="18" s="1"/>
  <c r="T72" i="18"/>
  <c r="P72" i="18"/>
  <c r="H72" i="18"/>
  <c r="D72" i="18"/>
  <c r="L72" i="18" s="1"/>
  <c r="N72" i="18" s="1"/>
  <c r="B72" i="18"/>
  <c r="T71" i="18"/>
  <c r="P71" i="18"/>
  <c r="X71" i="18" s="1"/>
  <c r="Z71" i="18" s="1"/>
  <c r="H71" i="18"/>
  <c r="D71" i="18"/>
  <c r="L71" i="18" s="1"/>
  <c r="B71" i="18"/>
  <c r="T70" i="18"/>
  <c r="P70" i="18"/>
  <c r="L70" i="18"/>
  <c r="H70" i="18"/>
  <c r="N70" i="18" s="1"/>
  <c r="D70" i="18"/>
  <c r="B70" i="18"/>
  <c r="X69" i="18"/>
  <c r="Z69" i="18" s="1"/>
  <c r="T69" i="18"/>
  <c r="P69" i="18"/>
  <c r="H69" i="18"/>
  <c r="L69" i="18" s="1"/>
  <c r="N69" i="18" s="1"/>
  <c r="D69" i="18"/>
  <c r="B69" i="18"/>
  <c r="T68" i="18"/>
  <c r="P68" i="18"/>
  <c r="X68" i="18" s="1"/>
  <c r="Z68" i="18" s="1"/>
  <c r="L68" i="18"/>
  <c r="N68" i="18" s="1"/>
  <c r="H68" i="18"/>
  <c r="D68" i="18"/>
  <c r="B68" i="18"/>
  <c r="T67" i="18"/>
  <c r="Z67" i="18" s="1"/>
  <c r="P67" i="18"/>
  <c r="X67" i="18" s="1"/>
  <c r="H67" i="18"/>
  <c r="D67" i="18"/>
  <c r="L67" i="18" s="1"/>
  <c r="N67" i="18" s="1"/>
  <c r="B67" i="18"/>
  <c r="X66" i="18"/>
  <c r="T66" i="18"/>
  <c r="Z66" i="18" s="1"/>
  <c r="P66" i="18"/>
  <c r="H66" i="18"/>
  <c r="D66" i="18"/>
  <c r="B66" i="18"/>
  <c r="Z65" i="18"/>
  <c r="X65" i="18"/>
  <c r="T65" i="18"/>
  <c r="P65" i="18"/>
  <c r="L65" i="18"/>
  <c r="N65" i="18" s="1"/>
  <c r="H65" i="18"/>
  <c r="D65" i="18"/>
  <c r="B65" i="18"/>
  <c r="Z64" i="18"/>
  <c r="X64" i="18"/>
  <c r="T64" i="18"/>
  <c r="P64" i="18"/>
  <c r="H64" i="18"/>
  <c r="D64" i="18"/>
  <c r="L64" i="18" s="1"/>
  <c r="N64" i="18" s="1"/>
  <c r="B64" i="18"/>
  <c r="T63" i="18"/>
  <c r="P63" i="18"/>
  <c r="X63" i="18" s="1"/>
  <c r="Z63" i="18" s="1"/>
  <c r="H63" i="18"/>
  <c r="D63" i="18"/>
  <c r="L63" i="18" s="1"/>
  <c r="B63" i="18"/>
  <c r="T62" i="18"/>
  <c r="P62" i="18"/>
  <c r="L62" i="18"/>
  <c r="H62" i="18"/>
  <c r="N62" i="18" s="1"/>
  <c r="D62" i="18"/>
  <c r="B62" i="18"/>
  <c r="X61" i="18"/>
  <c r="Z61" i="18" s="1"/>
  <c r="T61" i="18"/>
  <c r="P61" i="18"/>
  <c r="N61" i="18"/>
  <c r="L61" i="18"/>
  <c r="H61" i="18"/>
  <c r="D61" i="18"/>
  <c r="B61" i="18"/>
  <c r="T60" i="18"/>
  <c r="P60" i="18"/>
  <c r="X60" i="18" s="1"/>
  <c r="Z60" i="18" s="1"/>
  <c r="N60" i="18"/>
  <c r="L60" i="18"/>
  <c r="H60" i="18"/>
  <c r="D60" i="18"/>
  <c r="B60" i="18"/>
  <c r="T59" i="18"/>
  <c r="Z59" i="18" s="1"/>
  <c r="P59" i="18"/>
  <c r="X59" i="18" s="1"/>
  <c r="H59" i="18"/>
  <c r="D59" i="18"/>
  <c r="L59" i="18" s="1"/>
  <c r="N59" i="18" s="1"/>
  <c r="B59" i="18"/>
  <c r="X58" i="18"/>
  <c r="T58" i="18"/>
  <c r="Z58" i="18" s="1"/>
  <c r="P58" i="18"/>
  <c r="H58" i="18"/>
  <c r="D58" i="18"/>
  <c r="B58" i="18"/>
  <c r="Z57" i="18"/>
  <c r="X57" i="18"/>
  <c r="T57" i="18"/>
  <c r="P57" i="18"/>
  <c r="L57" i="18"/>
  <c r="N57" i="18" s="1"/>
  <c r="H57" i="18"/>
  <c r="D57" i="18"/>
  <c r="B57" i="18"/>
  <c r="Z56" i="18"/>
  <c r="X56" i="18"/>
  <c r="T56" i="18"/>
  <c r="P56" i="18"/>
  <c r="N56" i="18"/>
  <c r="H56" i="18"/>
  <c r="D56" i="18"/>
  <c r="L56" i="18" s="1"/>
  <c r="B56" i="18"/>
  <c r="T55" i="18"/>
  <c r="P55" i="18"/>
  <c r="X55" i="18" s="1"/>
  <c r="Z55" i="18" s="1"/>
  <c r="H55" i="18"/>
  <c r="N55" i="18" s="1"/>
  <c r="D55" i="18"/>
  <c r="L55" i="18" s="1"/>
  <c r="B55" i="18"/>
  <c r="T54" i="18"/>
  <c r="P54" i="18"/>
  <c r="L54" i="18"/>
  <c r="H54" i="18"/>
  <c r="N54" i="18" s="1"/>
  <c r="D54" i="18"/>
  <c r="B54" i="18"/>
  <c r="X53" i="18"/>
  <c r="Z53" i="18" s="1"/>
  <c r="T53" i="18"/>
  <c r="P53" i="18"/>
  <c r="N53" i="18"/>
  <c r="L53" i="18"/>
  <c r="H53" i="18"/>
  <c r="D53" i="18"/>
  <c r="B53" i="18"/>
  <c r="T52" i="18"/>
  <c r="P52" i="18"/>
  <c r="X52" i="18" s="1"/>
  <c r="Z52" i="18" s="1"/>
  <c r="N52" i="18"/>
  <c r="L52" i="18"/>
  <c r="H52" i="18"/>
  <c r="D52" i="18"/>
  <c r="B52" i="18"/>
  <c r="T51" i="18"/>
  <c r="Z51" i="18" s="1"/>
  <c r="P51" i="18"/>
  <c r="X51" i="18" s="1"/>
  <c r="N51" i="18"/>
  <c r="H51" i="18"/>
  <c r="D51" i="18"/>
  <c r="L51" i="18" s="1"/>
  <c r="B51" i="18"/>
  <c r="X50" i="18"/>
  <c r="T50" i="18"/>
  <c r="Z50" i="18" s="1"/>
  <c r="P50" i="18"/>
  <c r="H50" i="18"/>
  <c r="D50" i="18"/>
  <c r="B50" i="18"/>
  <c r="Z49" i="18"/>
  <c r="X49" i="18"/>
  <c r="T49" i="18"/>
  <c r="P49" i="18"/>
  <c r="L49" i="18"/>
  <c r="N49" i="18" s="1"/>
  <c r="H49" i="18"/>
  <c r="D49" i="18"/>
  <c r="B49" i="18"/>
  <c r="Z48" i="18"/>
  <c r="X48" i="18"/>
  <c r="T48" i="18"/>
  <c r="P48" i="18"/>
  <c r="H48" i="18"/>
  <c r="D48" i="18"/>
  <c r="L48" i="18" s="1"/>
  <c r="N48" i="18" s="1"/>
  <c r="B48" i="18"/>
  <c r="T47" i="18"/>
  <c r="P47" i="18"/>
  <c r="X47" i="18" s="1"/>
  <c r="Z47" i="18" s="1"/>
  <c r="H47" i="18"/>
  <c r="D47" i="18"/>
  <c r="L47" i="18" s="1"/>
  <c r="B47" i="18"/>
  <c r="T46" i="18"/>
  <c r="P46" i="18"/>
  <c r="L46" i="18"/>
  <c r="H46" i="18"/>
  <c r="N46" i="18" s="1"/>
  <c r="D46" i="18"/>
  <c r="B46" i="18"/>
  <c r="X45" i="18"/>
  <c r="Z45" i="18" s="1"/>
  <c r="T45" i="18"/>
  <c r="P45" i="18"/>
  <c r="N45" i="18"/>
  <c r="L45" i="18"/>
  <c r="H45" i="18"/>
  <c r="D45" i="18"/>
  <c r="B45" i="18"/>
  <c r="Z44" i="18"/>
  <c r="T44" i="18"/>
  <c r="P44" i="18"/>
  <c r="X44" i="18" s="1"/>
  <c r="N44" i="18"/>
  <c r="L44" i="18"/>
  <c r="H44" i="18"/>
  <c r="D44" i="18"/>
  <c r="B44" i="18"/>
  <c r="T43" i="18"/>
  <c r="Z43" i="18" s="1"/>
  <c r="P43" i="18"/>
  <c r="X43" i="18" s="1"/>
  <c r="H43" i="18"/>
  <c r="D43" i="18"/>
  <c r="L43" i="18" s="1"/>
  <c r="N43" i="18" s="1"/>
  <c r="B43" i="18"/>
  <c r="X42" i="18"/>
  <c r="T42" i="18"/>
  <c r="Z42" i="18" s="1"/>
  <c r="P42" i="18"/>
  <c r="H42" i="18"/>
  <c r="D42" i="18"/>
  <c r="B42" i="18"/>
  <c r="Z41" i="18"/>
  <c r="X41" i="18"/>
  <c r="T41" i="18"/>
  <c r="P41" i="18"/>
  <c r="L41" i="18"/>
  <c r="N41" i="18" s="1"/>
  <c r="H41" i="18"/>
  <c r="D41" i="18"/>
  <c r="B41" i="18"/>
  <c r="Z40" i="18"/>
  <c r="X40" i="18"/>
  <c r="T40" i="18"/>
  <c r="P40" i="18"/>
  <c r="N40" i="18"/>
  <c r="H40" i="18"/>
  <c r="D40" i="18"/>
  <c r="L40" i="18" s="1"/>
  <c r="B40" i="18"/>
  <c r="T39" i="18"/>
  <c r="P39" i="18"/>
  <c r="X39" i="18" s="1"/>
  <c r="Z39" i="18" s="1"/>
  <c r="H39" i="18"/>
  <c r="N39" i="18" s="1"/>
  <c r="D39" i="18"/>
  <c r="L39" i="18" s="1"/>
  <c r="B39" i="18"/>
  <c r="T38" i="18"/>
  <c r="P38" i="18"/>
  <c r="L38" i="18"/>
  <c r="H38" i="18"/>
  <c r="N38" i="18" s="1"/>
  <c r="D38" i="18"/>
  <c r="B38" i="18"/>
  <c r="X37" i="18"/>
  <c r="Z37" i="18" s="1"/>
  <c r="T37" i="18"/>
  <c r="P37" i="18"/>
  <c r="N37" i="18"/>
  <c r="L37" i="18"/>
  <c r="H37" i="18"/>
  <c r="D37" i="18"/>
  <c r="B37" i="18"/>
  <c r="T36" i="18"/>
  <c r="P36" i="18"/>
  <c r="X36" i="18" s="1"/>
  <c r="Z36" i="18" s="1"/>
  <c r="N36" i="18"/>
  <c r="L36" i="18"/>
  <c r="H36" i="18"/>
  <c r="D36" i="18"/>
  <c r="B36" i="18"/>
  <c r="T35" i="18"/>
  <c r="Z35" i="18" s="1"/>
  <c r="P35" i="18"/>
  <c r="X35" i="18" s="1"/>
  <c r="H35" i="18"/>
  <c r="D35" i="18"/>
  <c r="L35" i="18" s="1"/>
  <c r="N35" i="18" s="1"/>
  <c r="B35" i="18"/>
  <c r="X34" i="18"/>
  <c r="T34" i="18"/>
  <c r="Z34" i="18" s="1"/>
  <c r="P34" i="18"/>
  <c r="H34" i="18"/>
  <c r="D34" i="18"/>
  <c r="B34" i="18"/>
  <c r="Z33" i="18"/>
  <c r="X33" i="18"/>
  <c r="T33" i="18"/>
  <c r="P33" i="18"/>
  <c r="L33" i="18"/>
  <c r="N33" i="18" s="1"/>
  <c r="H33" i="18"/>
  <c r="D33" i="18"/>
  <c r="B33" i="18"/>
  <c r="Z32" i="18"/>
  <c r="X32" i="18"/>
  <c r="T32" i="18"/>
  <c r="P32" i="18"/>
  <c r="N32" i="18"/>
  <c r="H32" i="18"/>
  <c r="D32" i="18"/>
  <c r="L32" i="18" s="1"/>
  <c r="B32" i="18"/>
  <c r="T31" i="18"/>
  <c r="P31" i="18"/>
  <c r="X31" i="18" s="1"/>
  <c r="Z31" i="18" s="1"/>
  <c r="H31" i="18"/>
  <c r="N31" i="18" s="1"/>
  <c r="D31" i="18"/>
  <c r="L31" i="18" s="1"/>
  <c r="B31" i="18"/>
  <c r="T30" i="18"/>
  <c r="P30" i="18"/>
  <c r="L30" i="18"/>
  <c r="H30" i="18"/>
  <c r="N30" i="18" s="1"/>
  <c r="D30" i="18"/>
  <c r="B30" i="18"/>
  <c r="X29" i="18"/>
  <c r="Z29" i="18" s="1"/>
  <c r="T29" i="18"/>
  <c r="P29" i="18"/>
  <c r="N29" i="18"/>
  <c r="L29" i="18"/>
  <c r="H29" i="18"/>
  <c r="D29" i="18"/>
  <c r="B29" i="18"/>
  <c r="T28" i="18"/>
  <c r="P28" i="18"/>
  <c r="X28" i="18" s="1"/>
  <c r="Z28" i="18" s="1"/>
  <c r="N28" i="18"/>
  <c r="L28" i="18"/>
  <c r="H28" i="18"/>
  <c r="D28" i="18"/>
  <c r="B28" i="18"/>
  <c r="T27" i="18"/>
  <c r="P27" i="18"/>
  <c r="X27" i="18" s="1"/>
  <c r="H27" i="18"/>
  <c r="D27" i="18"/>
  <c r="L27" i="18" s="1"/>
  <c r="N27" i="18" s="1"/>
  <c r="B27" i="18"/>
  <c r="X26" i="18"/>
  <c r="T26" i="18"/>
  <c r="Z26" i="18" s="1"/>
  <c r="P26" i="18"/>
  <c r="H26" i="18"/>
  <c r="D26" i="18"/>
  <c r="B26" i="18"/>
  <c r="Z25" i="18"/>
  <c r="X25" i="18"/>
  <c r="T25" i="18"/>
  <c r="P25" i="18"/>
  <c r="L25" i="18"/>
  <c r="N25" i="18" s="1"/>
  <c r="H25" i="18"/>
  <c r="D25" i="18"/>
  <c r="B25" i="18"/>
  <c r="Z24" i="18"/>
  <c r="X24" i="18"/>
  <c r="T24" i="18"/>
  <c r="P24" i="18"/>
  <c r="H24" i="18"/>
  <c r="D24" i="18"/>
  <c r="L24" i="18" s="1"/>
  <c r="N24" i="18" s="1"/>
  <c r="B24" i="18"/>
  <c r="T23" i="18"/>
  <c r="P23" i="18"/>
  <c r="X23" i="18" s="1"/>
  <c r="Z23" i="18" s="1"/>
  <c r="H23" i="18"/>
  <c r="D23" i="18"/>
  <c r="L23" i="18" s="1"/>
  <c r="B23" i="18"/>
  <c r="T22" i="18"/>
  <c r="P22" i="18"/>
  <c r="L22" i="18"/>
  <c r="H22" i="18"/>
  <c r="N22" i="18" s="1"/>
  <c r="D22" i="18"/>
  <c r="B22" i="18"/>
  <c r="X21" i="18"/>
  <c r="Z21" i="18" s="1"/>
  <c r="T21" i="18"/>
  <c r="P21" i="18"/>
  <c r="N21" i="18"/>
  <c r="L21" i="18"/>
  <c r="H21" i="18"/>
  <c r="D21" i="18"/>
  <c r="B21" i="18"/>
  <c r="Z20" i="18"/>
  <c r="T20" i="18"/>
  <c r="P20" i="18"/>
  <c r="X20" i="18" s="1"/>
  <c r="N20" i="18"/>
  <c r="L20" i="18"/>
  <c r="H20" i="18"/>
  <c r="D20" i="18"/>
  <c r="B20" i="18"/>
  <c r="T19" i="18"/>
  <c r="P19" i="18"/>
  <c r="X19" i="18" s="1"/>
  <c r="H19" i="18"/>
  <c r="D19" i="18"/>
  <c r="L19" i="18" s="1"/>
  <c r="N19" i="18" s="1"/>
  <c r="B19" i="18"/>
  <c r="X18" i="18"/>
  <c r="T18" i="18"/>
  <c r="Z18" i="18" s="1"/>
  <c r="P18" i="18"/>
  <c r="H18" i="18"/>
  <c r="D18" i="18"/>
  <c r="B18" i="18"/>
  <c r="Z17" i="18"/>
  <c r="X17" i="18"/>
  <c r="T17" i="18"/>
  <c r="P17" i="18"/>
  <c r="L17" i="18"/>
  <c r="N17" i="18" s="1"/>
  <c r="H17" i="18"/>
  <c r="D17" i="18"/>
  <c r="B17" i="18"/>
  <c r="Z16" i="18"/>
  <c r="X16" i="18"/>
  <c r="T16" i="18"/>
  <c r="P16" i="18"/>
  <c r="H16" i="18"/>
  <c r="D16" i="18"/>
  <c r="L16" i="18" s="1"/>
  <c r="N16" i="18" s="1"/>
  <c r="B16" i="18"/>
  <c r="T15" i="18"/>
  <c r="P15" i="18"/>
  <c r="H15" i="18"/>
  <c r="D15" i="18"/>
  <c r="L15" i="18" s="1"/>
  <c r="B15" i="18"/>
  <c r="T14" i="18"/>
  <c r="P14" i="18"/>
  <c r="L14" i="18"/>
  <c r="H14" i="18"/>
  <c r="N14" i="18" s="1"/>
  <c r="D14" i="18"/>
  <c r="B14" i="18"/>
  <c r="X13" i="18"/>
  <c r="Z13" i="18" s="1"/>
  <c r="T13" i="18"/>
  <c r="P13" i="18"/>
  <c r="N13" i="18"/>
  <c r="L13" i="18"/>
  <c r="H13" i="18"/>
  <c r="H12" i="18" s="1"/>
  <c r="J184" i="18" s="1"/>
  <c r="D13" i="18"/>
  <c r="B13" i="18"/>
  <c r="D4" i="18"/>
  <c r="B39" i="17"/>
  <c r="B38" i="17"/>
  <c r="T34" i="17"/>
  <c r="Z34" i="17" s="1"/>
  <c r="P34" i="17"/>
  <c r="H34" i="17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4" i="17" s="1"/>
  <c r="P12" i="17"/>
  <c r="H12" i="17"/>
  <c r="J21" i="17" s="1"/>
  <c r="D12" i="17"/>
  <c r="F34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D20" i="16"/>
  <c r="T16" i="16"/>
  <c r="Z16" i="16" s="1"/>
  <c r="P16" i="16"/>
  <c r="H16" i="16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22" i="16" s="1"/>
  <c r="H12" i="16"/>
  <c r="J24" i="16" s="1"/>
  <c r="D12" i="16"/>
  <c r="D5" i="16"/>
  <c r="D4" i="16"/>
  <c r="Z186" i="15"/>
  <c r="X186" i="15"/>
  <c r="L186" i="15"/>
  <c r="N186" i="15" s="1"/>
  <c r="X182" i="15"/>
  <c r="Z182" i="15" s="1"/>
  <c r="T182" i="15"/>
  <c r="P182" i="15"/>
  <c r="H182" i="15"/>
  <c r="D182" i="15"/>
  <c r="B182" i="15"/>
  <c r="Z181" i="15"/>
  <c r="X181" i="15"/>
  <c r="T181" i="15"/>
  <c r="P181" i="15"/>
  <c r="L181" i="15"/>
  <c r="H181" i="15"/>
  <c r="N181" i="15" s="1"/>
  <c r="D181" i="15"/>
  <c r="B181" i="15"/>
  <c r="T180" i="15"/>
  <c r="Z180" i="15" s="1"/>
  <c r="P180" i="15"/>
  <c r="X180" i="15" s="1"/>
  <c r="L180" i="15"/>
  <c r="N180" i="15" s="1"/>
  <c r="H180" i="15"/>
  <c r="D180" i="15"/>
  <c r="D179" i="15" s="1"/>
  <c r="B180" i="15"/>
  <c r="P179" i="15"/>
  <c r="X177" i="15"/>
  <c r="Z177" i="15" s="1"/>
  <c r="L177" i="15"/>
  <c r="N177" i="15" s="1"/>
  <c r="B177" i="15"/>
  <c r="T176" i="15"/>
  <c r="P176" i="15"/>
  <c r="X176" i="15" s="1"/>
  <c r="Z176" i="15" s="1"/>
  <c r="H176" i="15"/>
  <c r="N176" i="15" s="1"/>
  <c r="D176" i="15"/>
  <c r="L176" i="15" s="1"/>
  <c r="B176" i="15"/>
  <c r="Z175" i="15"/>
  <c r="X175" i="15"/>
  <c r="L175" i="15"/>
  <c r="N175" i="15" s="1"/>
  <c r="B175" i="15"/>
  <c r="X174" i="15"/>
  <c r="Z174" i="15" s="1"/>
  <c r="N174" i="15"/>
  <c r="L174" i="15"/>
  <c r="B174" i="15"/>
  <c r="X173" i="15"/>
  <c r="Z173" i="15" s="1"/>
  <c r="L173" i="15"/>
  <c r="N173" i="15" s="1"/>
  <c r="B173" i="15"/>
  <c r="T172" i="15"/>
  <c r="P172" i="15"/>
  <c r="X172" i="15" s="1"/>
  <c r="Z172" i="15" s="1"/>
  <c r="H172" i="15"/>
  <c r="D172" i="15"/>
  <c r="B172" i="15"/>
  <c r="Z171" i="15"/>
  <c r="X171" i="15"/>
  <c r="N171" i="15"/>
  <c r="L171" i="15"/>
  <c r="B171" i="15"/>
  <c r="T170" i="15"/>
  <c r="P170" i="15"/>
  <c r="L170" i="15"/>
  <c r="N170" i="15" s="1"/>
  <c r="H170" i="15"/>
  <c r="D170" i="15"/>
  <c r="B170" i="15"/>
  <c r="X169" i="15"/>
  <c r="Z169" i="15" s="1"/>
  <c r="L169" i="15"/>
  <c r="N169" i="15" s="1"/>
  <c r="B169" i="15"/>
  <c r="X168" i="15"/>
  <c r="Z168" i="15" s="1"/>
  <c r="N168" i="15"/>
  <c r="L168" i="15"/>
  <c r="B168" i="15"/>
  <c r="Z167" i="15"/>
  <c r="T167" i="15"/>
  <c r="P167" i="15"/>
  <c r="X167" i="15" s="1"/>
  <c r="H167" i="15"/>
  <c r="D167" i="15"/>
  <c r="L167" i="15" s="1"/>
  <c r="N167" i="15" s="1"/>
  <c r="B167" i="15"/>
  <c r="Z166" i="15"/>
  <c r="X166" i="15"/>
  <c r="L166" i="15"/>
  <c r="N166" i="15" s="1"/>
  <c r="B166" i="15"/>
  <c r="X165" i="15"/>
  <c r="Z165" i="15" s="1"/>
  <c r="L165" i="15"/>
  <c r="N165" i="15" s="1"/>
  <c r="B165" i="15"/>
  <c r="X164" i="15"/>
  <c r="Z164" i="15" s="1"/>
  <c r="N164" i="15"/>
  <c r="L164" i="15"/>
  <c r="B164" i="15"/>
  <c r="Z163" i="15"/>
  <c r="X163" i="15"/>
  <c r="L163" i="15"/>
  <c r="N163" i="15" s="1"/>
  <c r="B163" i="15"/>
  <c r="Z162" i="15"/>
  <c r="X162" i="15"/>
  <c r="N162" i="15"/>
  <c r="L162" i="15"/>
  <c r="B162" i="15"/>
  <c r="X161" i="15"/>
  <c r="Z161" i="15" s="1"/>
  <c r="L161" i="15"/>
  <c r="N161" i="15" s="1"/>
  <c r="B161" i="15"/>
  <c r="T160" i="15"/>
  <c r="P160" i="15"/>
  <c r="X160" i="15" s="1"/>
  <c r="Z160" i="15" s="1"/>
  <c r="H160" i="15"/>
  <c r="N160" i="15" s="1"/>
  <c r="D160" i="15"/>
  <c r="L160" i="15" s="1"/>
  <c r="B160" i="15"/>
  <c r="Z159" i="15"/>
  <c r="X159" i="15"/>
  <c r="N159" i="15"/>
  <c r="L159" i="15"/>
  <c r="B159" i="15"/>
  <c r="Z158" i="15"/>
  <c r="X158" i="15"/>
  <c r="N158" i="15"/>
  <c r="L158" i="15"/>
  <c r="B158" i="15"/>
  <c r="X157" i="15"/>
  <c r="T157" i="15"/>
  <c r="Z157" i="15" s="1"/>
  <c r="P157" i="15"/>
  <c r="N157" i="15"/>
  <c r="H157" i="15"/>
  <c r="D157" i="15"/>
  <c r="L157" i="15" s="1"/>
  <c r="B157" i="15"/>
  <c r="X156" i="15"/>
  <c r="Z156" i="15" s="1"/>
  <c r="N156" i="15"/>
  <c r="L156" i="15"/>
  <c r="B156" i="15"/>
  <c r="Z155" i="15"/>
  <c r="X155" i="15"/>
  <c r="L155" i="15"/>
  <c r="N155" i="15" s="1"/>
  <c r="B155" i="15"/>
  <c r="Z154" i="15"/>
  <c r="X154" i="15"/>
  <c r="N154" i="15"/>
  <c r="L154" i="15"/>
  <c r="B154" i="15"/>
  <c r="X153" i="15"/>
  <c r="Z153" i="15" s="1"/>
  <c r="L153" i="15"/>
  <c r="N153" i="15" s="1"/>
  <c r="B153" i="15"/>
  <c r="T152" i="15"/>
  <c r="P152" i="15"/>
  <c r="X152" i="15" s="1"/>
  <c r="Z152" i="15" s="1"/>
  <c r="H152" i="15"/>
  <c r="D152" i="15"/>
  <c r="L152" i="15" s="1"/>
  <c r="B152" i="15"/>
  <c r="Z151" i="15"/>
  <c r="X151" i="15"/>
  <c r="N151" i="15"/>
  <c r="L151" i="15"/>
  <c r="B151" i="15"/>
  <c r="Z150" i="15"/>
  <c r="X150" i="15"/>
  <c r="N150" i="15"/>
  <c r="L150" i="15"/>
  <c r="B150" i="15"/>
  <c r="X149" i="15"/>
  <c r="Z149" i="15" s="1"/>
  <c r="L149" i="15"/>
  <c r="N149" i="15" s="1"/>
  <c r="B149" i="15"/>
  <c r="T148" i="15"/>
  <c r="P148" i="15"/>
  <c r="X148" i="15" s="1"/>
  <c r="Z148" i="15" s="1"/>
  <c r="H148" i="15"/>
  <c r="N148" i="15" s="1"/>
  <c r="D148" i="15"/>
  <c r="L148" i="15" s="1"/>
  <c r="B148" i="15"/>
  <c r="Z147" i="15"/>
  <c r="X147" i="15"/>
  <c r="N147" i="15"/>
  <c r="L147" i="15"/>
  <c r="B147" i="15"/>
  <c r="Z146" i="15"/>
  <c r="X146" i="15"/>
  <c r="N146" i="15"/>
  <c r="L146" i="15"/>
  <c r="B146" i="15"/>
  <c r="X145" i="15"/>
  <c r="Z145" i="15" s="1"/>
  <c r="L145" i="15"/>
  <c r="N145" i="15" s="1"/>
  <c r="B145" i="15"/>
  <c r="T144" i="15"/>
  <c r="P144" i="15"/>
  <c r="X144" i="15" s="1"/>
  <c r="Z144" i="15" s="1"/>
  <c r="H144" i="15"/>
  <c r="D144" i="15"/>
  <c r="L144" i="15" s="1"/>
  <c r="B144" i="15"/>
  <c r="Z143" i="15"/>
  <c r="X143" i="15"/>
  <c r="N143" i="15"/>
  <c r="L143" i="15"/>
  <c r="B143" i="15"/>
  <c r="T142" i="15"/>
  <c r="P142" i="15"/>
  <c r="X142" i="15" s="1"/>
  <c r="L142" i="15"/>
  <c r="N142" i="15" s="1"/>
  <c r="H142" i="15"/>
  <c r="D142" i="15"/>
  <c r="B142" i="15"/>
  <c r="Z141" i="15"/>
  <c r="X141" i="15"/>
  <c r="N141" i="15"/>
  <c r="L141" i="15"/>
  <c r="B141" i="15"/>
  <c r="X140" i="15"/>
  <c r="Z140" i="15" s="1"/>
  <c r="L140" i="15"/>
  <c r="N140" i="15" s="1"/>
  <c r="B140" i="15"/>
  <c r="T139" i="15"/>
  <c r="P139" i="15"/>
  <c r="X139" i="15" s="1"/>
  <c r="Z139" i="15" s="1"/>
  <c r="L139" i="15"/>
  <c r="N139" i="15" s="1"/>
  <c r="H139" i="15"/>
  <c r="D139" i="15"/>
  <c r="B139" i="15"/>
  <c r="Z138" i="15"/>
  <c r="X138" i="15"/>
  <c r="N138" i="15"/>
  <c r="L138" i="15"/>
  <c r="B138" i="15"/>
  <c r="X137" i="15"/>
  <c r="Z137" i="15" s="1"/>
  <c r="T137" i="15"/>
  <c r="P137" i="15"/>
  <c r="H137" i="15"/>
  <c r="D137" i="15"/>
  <c r="B137" i="15"/>
  <c r="X136" i="15"/>
  <c r="Z136" i="15" s="1"/>
  <c r="L136" i="15"/>
  <c r="N136" i="15" s="1"/>
  <c r="B136" i="15"/>
  <c r="T135" i="15"/>
  <c r="P135" i="15"/>
  <c r="H135" i="15"/>
  <c r="N135" i="15" s="1"/>
  <c r="D135" i="15"/>
  <c r="L135" i="15" s="1"/>
  <c r="B135" i="15"/>
  <c r="Z134" i="15"/>
  <c r="X134" i="15"/>
  <c r="N134" i="15"/>
  <c r="L134" i="15"/>
  <c r="B134" i="15"/>
  <c r="X133" i="15"/>
  <c r="Z133" i="15" s="1"/>
  <c r="L133" i="15"/>
  <c r="N133" i="15" s="1"/>
  <c r="B133" i="15"/>
  <c r="T132" i="15"/>
  <c r="P132" i="15"/>
  <c r="X132" i="15" s="1"/>
  <c r="Z132" i="15" s="1"/>
  <c r="H132" i="15"/>
  <c r="D132" i="15"/>
  <c r="L132" i="15" s="1"/>
  <c r="B132" i="15"/>
  <c r="Z131" i="15"/>
  <c r="X131" i="15"/>
  <c r="N131" i="15"/>
  <c r="L131" i="15"/>
  <c r="B131" i="15"/>
  <c r="T130" i="15"/>
  <c r="P130" i="15"/>
  <c r="X130" i="15" s="1"/>
  <c r="L130" i="15"/>
  <c r="N130" i="15" s="1"/>
  <c r="H130" i="15"/>
  <c r="D130" i="15"/>
  <c r="B130" i="15"/>
  <c r="X129" i="15"/>
  <c r="Z129" i="15" s="1"/>
  <c r="L129" i="15"/>
  <c r="N129" i="15" s="1"/>
  <c r="B129" i="15"/>
  <c r="X128" i="15"/>
  <c r="Z128" i="15" s="1"/>
  <c r="T128" i="15"/>
  <c r="P128" i="15"/>
  <c r="H128" i="15"/>
  <c r="D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T125" i="15"/>
  <c r="P125" i="15"/>
  <c r="H125" i="15"/>
  <c r="N125" i="15" s="1"/>
  <c r="D125" i="15"/>
  <c r="B125" i="15"/>
  <c r="X124" i="15"/>
  <c r="Z124" i="15" s="1"/>
  <c r="L124" i="15"/>
  <c r="N124" i="15" s="1"/>
  <c r="B124" i="15"/>
  <c r="X123" i="15"/>
  <c r="Z123" i="15" s="1"/>
  <c r="N123" i="15"/>
  <c r="L123" i="15"/>
  <c r="B123" i="15"/>
  <c r="T122" i="15"/>
  <c r="P122" i="15"/>
  <c r="H122" i="15"/>
  <c r="D122" i="15"/>
  <c r="L122" i="15" s="1"/>
  <c r="N122" i="15" s="1"/>
  <c r="B122" i="15"/>
  <c r="X121" i="15"/>
  <c r="Z121" i="15" s="1"/>
  <c r="L121" i="15"/>
  <c r="N121" i="15" s="1"/>
  <c r="B121" i="15"/>
  <c r="T120" i="15"/>
  <c r="P120" i="15"/>
  <c r="X120" i="15" s="1"/>
  <c r="Z120" i="15" s="1"/>
  <c r="H120" i="15"/>
  <c r="D120" i="15"/>
  <c r="L120" i="15" s="1"/>
  <c r="B120" i="15"/>
  <c r="Z119" i="15"/>
  <c r="X119" i="15"/>
  <c r="N119" i="15"/>
  <c r="L119" i="15"/>
  <c r="B119" i="15"/>
  <c r="T118" i="15"/>
  <c r="Z118" i="15" s="1"/>
  <c r="P118" i="15"/>
  <c r="X118" i="15" s="1"/>
  <c r="H118" i="15"/>
  <c r="D118" i="15"/>
  <c r="L118" i="15" s="1"/>
  <c r="N118" i="15" s="1"/>
  <c r="B118" i="15"/>
  <c r="X117" i="15"/>
  <c r="Z117" i="15" s="1"/>
  <c r="L117" i="15"/>
  <c r="N117" i="15" s="1"/>
  <c r="B117" i="15"/>
  <c r="X116" i="15"/>
  <c r="Z116" i="15" s="1"/>
  <c r="T116" i="15"/>
  <c r="P116" i="15"/>
  <c r="H116" i="15"/>
  <c r="D116" i="15"/>
  <c r="B116" i="15"/>
  <c r="Z115" i="15"/>
  <c r="X115" i="15"/>
  <c r="N115" i="15"/>
  <c r="L115" i="15"/>
  <c r="B115" i="15"/>
  <c r="Z114" i="15"/>
  <c r="X114" i="15"/>
  <c r="L114" i="15"/>
  <c r="N114" i="15" s="1"/>
  <c r="B114" i="15"/>
  <c r="X113" i="15"/>
  <c r="Z113" i="15" s="1"/>
  <c r="L113" i="15"/>
  <c r="N113" i="15" s="1"/>
  <c r="B113" i="15"/>
  <c r="X112" i="15"/>
  <c r="Z112" i="15" s="1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X109" i="15"/>
  <c r="Z109" i="15" s="1"/>
  <c r="L109" i="15"/>
  <c r="N109" i="15" s="1"/>
  <c r="B109" i="15"/>
  <c r="T108" i="15"/>
  <c r="P108" i="15"/>
  <c r="X108" i="15" s="1"/>
  <c r="Z108" i="15" s="1"/>
  <c r="H108" i="15"/>
  <c r="D108" i="15"/>
  <c r="L108" i="15" s="1"/>
  <c r="B108" i="15"/>
  <c r="Z107" i="15"/>
  <c r="X107" i="15"/>
  <c r="N107" i="15"/>
  <c r="L107" i="15"/>
  <c r="B107" i="15"/>
  <c r="Z106" i="15"/>
  <c r="X106" i="15"/>
  <c r="L106" i="15"/>
  <c r="N106" i="15" s="1"/>
  <c r="B106" i="15"/>
  <c r="X105" i="15"/>
  <c r="Z105" i="15" s="1"/>
  <c r="L105" i="15"/>
  <c r="N105" i="15" s="1"/>
  <c r="B105" i="15"/>
  <c r="X104" i="15"/>
  <c r="Z104" i="15" s="1"/>
  <c r="N104" i="15"/>
  <c r="L104" i="15"/>
  <c r="B104" i="15"/>
  <c r="Z103" i="15"/>
  <c r="X103" i="15"/>
  <c r="N103" i="15"/>
  <c r="L103" i="15"/>
  <c r="B103" i="15"/>
  <c r="Z102" i="15"/>
  <c r="X102" i="15"/>
  <c r="L102" i="15"/>
  <c r="N102" i="15" s="1"/>
  <c r="B102" i="15"/>
  <c r="X101" i="15"/>
  <c r="Z101" i="15" s="1"/>
  <c r="N101" i="15"/>
  <c r="L101" i="15"/>
  <c r="B101" i="15"/>
  <c r="Z100" i="15"/>
  <c r="X100" i="15"/>
  <c r="L100" i="15"/>
  <c r="N100" i="15" s="1"/>
  <c r="B100" i="15"/>
  <c r="X99" i="15"/>
  <c r="Z99" i="15" s="1"/>
  <c r="N99" i="15"/>
  <c r="L99" i="15"/>
  <c r="B99" i="15"/>
  <c r="X98" i="15"/>
  <c r="Z98" i="15" s="1"/>
  <c r="N98" i="15"/>
  <c r="L98" i="15"/>
  <c r="B98" i="15"/>
  <c r="T97" i="15"/>
  <c r="P97" i="15"/>
  <c r="X97" i="15" s="1"/>
  <c r="Z97" i="15" s="1"/>
  <c r="H97" i="15"/>
  <c r="D97" i="15"/>
  <c r="L97" i="15" s="1"/>
  <c r="N97" i="15" s="1"/>
  <c r="B97" i="15"/>
  <c r="Z96" i="15"/>
  <c r="T96" i="15"/>
  <c r="P96" i="15"/>
  <c r="X96" i="15" s="1"/>
  <c r="H96" i="15"/>
  <c r="N96" i="15" s="1"/>
  <c r="D96" i="15"/>
  <c r="L96" i="15" s="1"/>
  <c r="Z92" i="15"/>
  <c r="X92" i="15"/>
  <c r="N92" i="15"/>
  <c r="L92" i="15"/>
  <c r="B92" i="15"/>
  <c r="Z91" i="15"/>
  <c r="X91" i="15"/>
  <c r="N91" i="15"/>
  <c r="L91" i="15"/>
  <c r="B91" i="15"/>
  <c r="Z90" i="15"/>
  <c r="X90" i="15"/>
  <c r="N90" i="15"/>
  <c r="L90" i="15"/>
  <c r="B90" i="15"/>
  <c r="Z89" i="15"/>
  <c r="X89" i="15"/>
  <c r="L89" i="15"/>
  <c r="N89" i="15" s="1"/>
  <c r="B89" i="15"/>
  <c r="X88" i="15"/>
  <c r="Z88" i="15" s="1"/>
  <c r="N88" i="15"/>
  <c r="L88" i="15"/>
  <c r="B88" i="15"/>
  <c r="Z87" i="15"/>
  <c r="X87" i="15"/>
  <c r="N87" i="15"/>
  <c r="L87" i="15"/>
  <c r="B87" i="15"/>
  <c r="Z86" i="15"/>
  <c r="X86" i="15"/>
  <c r="L86" i="15"/>
  <c r="N86" i="15" s="1"/>
  <c r="B86" i="15"/>
  <c r="Z85" i="15"/>
  <c r="X85" i="15"/>
  <c r="N85" i="15"/>
  <c r="L85" i="15"/>
  <c r="B85" i="15"/>
  <c r="Z84" i="15"/>
  <c r="X84" i="15"/>
  <c r="L84" i="15"/>
  <c r="N84" i="15" s="1"/>
  <c r="B84" i="15"/>
  <c r="Z83" i="15"/>
  <c r="X83" i="15"/>
  <c r="N83" i="15"/>
  <c r="L83" i="15"/>
  <c r="B83" i="15"/>
  <c r="Z82" i="15"/>
  <c r="X82" i="15"/>
  <c r="N82" i="15"/>
  <c r="L82" i="15"/>
  <c r="B82" i="15"/>
  <c r="Z81" i="15"/>
  <c r="X81" i="15"/>
  <c r="L81" i="15"/>
  <c r="N81" i="15" s="1"/>
  <c r="B81" i="15"/>
  <c r="X80" i="15"/>
  <c r="Z80" i="15" s="1"/>
  <c r="N80" i="15"/>
  <c r="L80" i="15"/>
  <c r="B80" i="15"/>
  <c r="Z79" i="15"/>
  <c r="X79" i="15"/>
  <c r="N79" i="15"/>
  <c r="L79" i="15"/>
  <c r="B79" i="15"/>
  <c r="Z78" i="15"/>
  <c r="X78" i="15"/>
  <c r="L78" i="15"/>
  <c r="N78" i="15" s="1"/>
  <c r="B78" i="15"/>
  <c r="Z77" i="15"/>
  <c r="X77" i="15"/>
  <c r="N77" i="15"/>
  <c r="L77" i="15"/>
  <c r="B77" i="15"/>
  <c r="Z76" i="15"/>
  <c r="X76" i="15"/>
  <c r="L76" i="15"/>
  <c r="N76" i="15" s="1"/>
  <c r="B76" i="15"/>
  <c r="Z75" i="15"/>
  <c r="X75" i="15"/>
  <c r="N75" i="15"/>
  <c r="L75" i="15"/>
  <c r="B75" i="15"/>
  <c r="X74" i="15"/>
  <c r="Z74" i="15" s="1"/>
  <c r="N74" i="15"/>
  <c r="L74" i="15"/>
  <c r="B74" i="15"/>
  <c r="Z73" i="15"/>
  <c r="X73" i="15"/>
  <c r="L73" i="15"/>
  <c r="N73" i="15" s="1"/>
  <c r="B73" i="15"/>
  <c r="X72" i="15"/>
  <c r="Z72" i="15" s="1"/>
  <c r="N72" i="15"/>
  <c r="L72" i="15"/>
  <c r="B72" i="15"/>
  <c r="Z71" i="15"/>
  <c r="X71" i="15"/>
  <c r="N71" i="15"/>
  <c r="L71" i="15"/>
  <c r="B71" i="15"/>
  <c r="Z70" i="15"/>
  <c r="X70" i="15"/>
  <c r="L70" i="15"/>
  <c r="N70" i="15" s="1"/>
  <c r="B70" i="15"/>
  <c r="X69" i="15"/>
  <c r="Z69" i="15" s="1"/>
  <c r="N69" i="15"/>
  <c r="L69" i="15"/>
  <c r="B69" i="15"/>
  <c r="Z68" i="15"/>
  <c r="X68" i="15"/>
  <c r="L68" i="15"/>
  <c r="N68" i="15" s="1"/>
  <c r="B68" i="15"/>
  <c r="Z67" i="15"/>
  <c r="X67" i="15"/>
  <c r="N67" i="15"/>
  <c r="L67" i="15"/>
  <c r="B67" i="15"/>
  <c r="X66" i="15"/>
  <c r="Z66" i="15" s="1"/>
  <c r="N66" i="15"/>
  <c r="L66" i="15"/>
  <c r="B66" i="15"/>
  <c r="Z65" i="15"/>
  <c r="X65" i="15"/>
  <c r="N65" i="15"/>
  <c r="L65" i="15"/>
  <c r="B65" i="15"/>
  <c r="T64" i="15"/>
  <c r="P64" i="15"/>
  <c r="X64" i="15" s="1"/>
  <c r="L64" i="15"/>
  <c r="H64" i="15"/>
  <c r="N64" i="15" s="1"/>
  <c r="D64" i="15"/>
  <c r="Z62" i="15"/>
  <c r="T62" i="15"/>
  <c r="P62" i="15"/>
  <c r="X62" i="15" s="1"/>
  <c r="L62" i="15"/>
  <c r="H62" i="15"/>
  <c r="N62" i="15" s="1"/>
  <c r="D62" i="15"/>
  <c r="B62" i="15"/>
  <c r="T61" i="15"/>
  <c r="P61" i="15"/>
  <c r="H61" i="15"/>
  <c r="D61" i="15"/>
  <c r="L61" i="15" s="1"/>
  <c r="N61" i="15" s="1"/>
  <c r="B61" i="15"/>
  <c r="X60" i="15"/>
  <c r="Z60" i="15" s="1"/>
  <c r="T60" i="15"/>
  <c r="P60" i="15"/>
  <c r="H60" i="15"/>
  <c r="D60" i="15"/>
  <c r="L60" i="15" s="1"/>
  <c r="B60" i="15"/>
  <c r="T59" i="15"/>
  <c r="P59" i="15"/>
  <c r="X59" i="15" s="1"/>
  <c r="Z59" i="15" s="1"/>
  <c r="L59" i="15"/>
  <c r="H59" i="15"/>
  <c r="D59" i="15"/>
  <c r="B59" i="15"/>
  <c r="X58" i="15"/>
  <c r="T58" i="15"/>
  <c r="Z58" i="15" s="1"/>
  <c r="P58" i="15"/>
  <c r="N58" i="15"/>
  <c r="H58" i="15"/>
  <c r="D58" i="15"/>
  <c r="L58" i="15" s="1"/>
  <c r="B58" i="15"/>
  <c r="Z57" i="15"/>
  <c r="T57" i="15"/>
  <c r="P57" i="15"/>
  <c r="X57" i="15" s="1"/>
  <c r="H57" i="15"/>
  <c r="N57" i="15" s="1"/>
  <c r="D57" i="15"/>
  <c r="B57" i="15"/>
  <c r="T56" i="15"/>
  <c r="P56" i="15"/>
  <c r="X56" i="15" s="1"/>
  <c r="L56" i="15"/>
  <c r="N56" i="15" s="1"/>
  <c r="H56" i="15"/>
  <c r="D56" i="15"/>
  <c r="B56" i="15"/>
  <c r="X55" i="15"/>
  <c r="T55" i="15"/>
  <c r="P55" i="15"/>
  <c r="H55" i="15"/>
  <c r="D55" i="15"/>
  <c r="L55" i="15" s="1"/>
  <c r="N55" i="15" s="1"/>
  <c r="B55" i="15"/>
  <c r="Z54" i="15"/>
  <c r="T54" i="15"/>
  <c r="P54" i="15"/>
  <c r="X54" i="15" s="1"/>
  <c r="L54" i="15"/>
  <c r="H54" i="15"/>
  <c r="N54" i="15" s="1"/>
  <c r="D54" i="15"/>
  <c r="B54" i="15"/>
  <c r="T53" i="15"/>
  <c r="P53" i="15"/>
  <c r="H53" i="15"/>
  <c r="D53" i="15"/>
  <c r="L53" i="15" s="1"/>
  <c r="N53" i="15" s="1"/>
  <c r="B53" i="15"/>
  <c r="X52" i="15"/>
  <c r="Z52" i="15" s="1"/>
  <c r="T52" i="15"/>
  <c r="P52" i="15"/>
  <c r="H52" i="15"/>
  <c r="H12" i="15" s="1"/>
  <c r="D52" i="15"/>
  <c r="B52" i="15"/>
  <c r="T51" i="15"/>
  <c r="P51" i="15"/>
  <c r="X51" i="15" s="1"/>
  <c r="Z51" i="15" s="1"/>
  <c r="L51" i="15"/>
  <c r="H51" i="15"/>
  <c r="N51" i="15" s="1"/>
  <c r="D51" i="15"/>
  <c r="B51" i="15"/>
  <c r="X50" i="15"/>
  <c r="T50" i="15"/>
  <c r="Z50" i="15" s="1"/>
  <c r="P50" i="15"/>
  <c r="H50" i="15"/>
  <c r="D50" i="15"/>
  <c r="L50" i="15" s="1"/>
  <c r="N50" i="15" s="1"/>
  <c r="B50" i="15"/>
  <c r="T49" i="15"/>
  <c r="P49" i="15"/>
  <c r="X49" i="15" s="1"/>
  <c r="Z49" i="15" s="1"/>
  <c r="H49" i="15"/>
  <c r="D49" i="15"/>
  <c r="B49" i="15"/>
  <c r="T48" i="15"/>
  <c r="Z48" i="15" s="1"/>
  <c r="P48" i="15"/>
  <c r="X48" i="15" s="1"/>
  <c r="N48" i="15"/>
  <c r="L48" i="15"/>
  <c r="H48" i="15"/>
  <c r="D48" i="15"/>
  <c r="B48" i="15"/>
  <c r="X47" i="15"/>
  <c r="T47" i="15"/>
  <c r="P47" i="15"/>
  <c r="H47" i="15"/>
  <c r="D47" i="15"/>
  <c r="L47" i="15" s="1"/>
  <c r="N47" i="15" s="1"/>
  <c r="B47" i="15"/>
  <c r="Z46" i="15"/>
  <c r="T46" i="15"/>
  <c r="P46" i="15"/>
  <c r="X46" i="15" s="1"/>
  <c r="L46" i="15"/>
  <c r="H46" i="15"/>
  <c r="N46" i="15" s="1"/>
  <c r="D46" i="15"/>
  <c r="B46" i="15"/>
  <c r="T45" i="15"/>
  <c r="P45" i="15"/>
  <c r="H45" i="15"/>
  <c r="D45" i="15"/>
  <c r="L45" i="15" s="1"/>
  <c r="N45" i="15" s="1"/>
  <c r="B45" i="15"/>
  <c r="X44" i="15"/>
  <c r="Z44" i="15" s="1"/>
  <c r="T44" i="15"/>
  <c r="P44" i="15"/>
  <c r="H44" i="15"/>
  <c r="D44" i="15"/>
  <c r="B44" i="15"/>
  <c r="T43" i="15"/>
  <c r="P43" i="15"/>
  <c r="X43" i="15" s="1"/>
  <c r="Z43" i="15" s="1"/>
  <c r="L43" i="15"/>
  <c r="H43" i="15"/>
  <c r="D43" i="15"/>
  <c r="B43" i="15"/>
  <c r="X42" i="15"/>
  <c r="T42" i="15"/>
  <c r="Z42" i="15" s="1"/>
  <c r="P42" i="15"/>
  <c r="H42" i="15"/>
  <c r="D42" i="15"/>
  <c r="L42" i="15" s="1"/>
  <c r="N42" i="15" s="1"/>
  <c r="B42" i="15"/>
  <c r="T41" i="15"/>
  <c r="P41" i="15"/>
  <c r="X41" i="15" s="1"/>
  <c r="Z41" i="15" s="1"/>
  <c r="H41" i="15"/>
  <c r="D41" i="15"/>
  <c r="B41" i="15"/>
  <c r="T40" i="15"/>
  <c r="P40" i="15"/>
  <c r="L40" i="15"/>
  <c r="N40" i="15" s="1"/>
  <c r="H40" i="15"/>
  <c r="D40" i="15"/>
  <c r="B40" i="15"/>
  <c r="X39" i="15"/>
  <c r="T39" i="15"/>
  <c r="P39" i="15"/>
  <c r="H39" i="15"/>
  <c r="D39" i="15"/>
  <c r="L39" i="15" s="1"/>
  <c r="N39" i="15" s="1"/>
  <c r="B39" i="15"/>
  <c r="T38" i="15"/>
  <c r="P38" i="15"/>
  <c r="X38" i="15" s="1"/>
  <c r="Z38" i="15" s="1"/>
  <c r="L38" i="15"/>
  <c r="H38" i="15"/>
  <c r="N38" i="15" s="1"/>
  <c r="D38" i="15"/>
  <c r="B38" i="15"/>
  <c r="T37" i="15"/>
  <c r="P37" i="15"/>
  <c r="H37" i="15"/>
  <c r="D37" i="15"/>
  <c r="L37" i="15" s="1"/>
  <c r="N37" i="15" s="1"/>
  <c r="B37" i="15"/>
  <c r="X36" i="15"/>
  <c r="Z36" i="15" s="1"/>
  <c r="T36" i="15"/>
  <c r="P36" i="15"/>
  <c r="H36" i="15"/>
  <c r="D36" i="15"/>
  <c r="B36" i="15"/>
  <c r="T35" i="15"/>
  <c r="P35" i="15"/>
  <c r="X35" i="15" s="1"/>
  <c r="Z35" i="15" s="1"/>
  <c r="L35" i="15"/>
  <c r="H35" i="15"/>
  <c r="D35" i="15"/>
  <c r="B35" i="15"/>
  <c r="X34" i="15"/>
  <c r="T34" i="15"/>
  <c r="Z34" i="15" s="1"/>
  <c r="P34" i="15"/>
  <c r="H34" i="15"/>
  <c r="D34" i="15"/>
  <c r="L34" i="15" s="1"/>
  <c r="N34" i="15" s="1"/>
  <c r="B34" i="15"/>
  <c r="T33" i="15"/>
  <c r="P33" i="15"/>
  <c r="X33" i="15" s="1"/>
  <c r="Z33" i="15" s="1"/>
  <c r="H33" i="15"/>
  <c r="D33" i="15"/>
  <c r="B33" i="15"/>
  <c r="T32" i="15"/>
  <c r="P32" i="15"/>
  <c r="L32" i="15"/>
  <c r="N32" i="15" s="1"/>
  <c r="H32" i="15"/>
  <c r="D32" i="15"/>
  <c r="B32" i="15"/>
  <c r="X31" i="15"/>
  <c r="T31" i="15"/>
  <c r="P31" i="15"/>
  <c r="H31" i="15"/>
  <c r="D31" i="15"/>
  <c r="L31" i="15" s="1"/>
  <c r="N31" i="15" s="1"/>
  <c r="B31" i="15"/>
  <c r="T30" i="15"/>
  <c r="P30" i="15"/>
  <c r="X30" i="15" s="1"/>
  <c r="Z30" i="15" s="1"/>
  <c r="L30" i="15"/>
  <c r="H30" i="15"/>
  <c r="N30" i="15" s="1"/>
  <c r="D30" i="15"/>
  <c r="B30" i="15"/>
  <c r="T29" i="15"/>
  <c r="P29" i="15"/>
  <c r="H29" i="15"/>
  <c r="D29" i="15"/>
  <c r="L29" i="15" s="1"/>
  <c r="N29" i="15" s="1"/>
  <c r="B29" i="15"/>
  <c r="X28" i="15"/>
  <c r="Z28" i="15" s="1"/>
  <c r="T28" i="15"/>
  <c r="P28" i="15"/>
  <c r="H28" i="15"/>
  <c r="D28" i="15"/>
  <c r="B28" i="15"/>
  <c r="T27" i="15"/>
  <c r="P27" i="15"/>
  <c r="X27" i="15" s="1"/>
  <c r="Z27" i="15" s="1"/>
  <c r="L27" i="15"/>
  <c r="H27" i="15"/>
  <c r="D27" i="15"/>
  <c r="B27" i="15"/>
  <c r="X26" i="15"/>
  <c r="T26" i="15"/>
  <c r="Z26" i="15" s="1"/>
  <c r="P26" i="15"/>
  <c r="H26" i="15"/>
  <c r="D26" i="15"/>
  <c r="L26" i="15" s="1"/>
  <c r="N26" i="15" s="1"/>
  <c r="B26" i="15"/>
  <c r="T25" i="15"/>
  <c r="P25" i="15"/>
  <c r="X25" i="15" s="1"/>
  <c r="Z25" i="15" s="1"/>
  <c r="H25" i="15"/>
  <c r="D25" i="15"/>
  <c r="B25" i="15"/>
  <c r="T24" i="15"/>
  <c r="P24" i="15"/>
  <c r="L24" i="15"/>
  <c r="N24" i="15" s="1"/>
  <c r="H24" i="15"/>
  <c r="D24" i="15"/>
  <c r="B24" i="15"/>
  <c r="X23" i="15"/>
  <c r="T23" i="15"/>
  <c r="P23" i="15"/>
  <c r="H23" i="15"/>
  <c r="D23" i="15"/>
  <c r="L23" i="15" s="1"/>
  <c r="N23" i="15" s="1"/>
  <c r="B23" i="15"/>
  <c r="T22" i="15"/>
  <c r="P22" i="15"/>
  <c r="X22" i="15" s="1"/>
  <c r="Z22" i="15" s="1"/>
  <c r="L22" i="15"/>
  <c r="H22" i="15"/>
  <c r="N22" i="15" s="1"/>
  <c r="D22" i="15"/>
  <c r="B22" i="15"/>
  <c r="T21" i="15"/>
  <c r="P21" i="15"/>
  <c r="H21" i="15"/>
  <c r="D21" i="15"/>
  <c r="L21" i="15" s="1"/>
  <c r="N21" i="15" s="1"/>
  <c r="B21" i="15"/>
  <c r="X20" i="15"/>
  <c r="Z20" i="15" s="1"/>
  <c r="T20" i="15"/>
  <c r="P20" i="15"/>
  <c r="H20" i="15"/>
  <c r="D20" i="15"/>
  <c r="B20" i="15"/>
  <c r="T19" i="15"/>
  <c r="P19" i="15"/>
  <c r="X19" i="15" s="1"/>
  <c r="Z19" i="15" s="1"/>
  <c r="L19" i="15"/>
  <c r="H19" i="15"/>
  <c r="D19" i="15"/>
  <c r="B19" i="15"/>
  <c r="X18" i="15"/>
  <c r="T18" i="15"/>
  <c r="Z18" i="15" s="1"/>
  <c r="P18" i="15"/>
  <c r="H18" i="15"/>
  <c r="D18" i="15"/>
  <c r="L18" i="15" s="1"/>
  <c r="N18" i="15" s="1"/>
  <c r="B18" i="15"/>
  <c r="T17" i="15"/>
  <c r="P17" i="15"/>
  <c r="X17" i="15" s="1"/>
  <c r="Z17" i="15" s="1"/>
  <c r="H17" i="15"/>
  <c r="D17" i="15"/>
  <c r="B17" i="15"/>
  <c r="T16" i="15"/>
  <c r="P16" i="15"/>
  <c r="L16" i="15"/>
  <c r="N16" i="15" s="1"/>
  <c r="H16" i="15"/>
  <c r="D16" i="15"/>
  <c r="B16" i="15"/>
  <c r="X15" i="15"/>
  <c r="T15" i="15"/>
  <c r="P15" i="15"/>
  <c r="H15" i="15"/>
  <c r="D15" i="15"/>
  <c r="L15" i="15" s="1"/>
  <c r="N15" i="15" s="1"/>
  <c r="B15" i="15"/>
  <c r="T14" i="15"/>
  <c r="P14" i="15"/>
  <c r="X14" i="15" s="1"/>
  <c r="Z14" i="15" s="1"/>
  <c r="L14" i="15"/>
  <c r="H14" i="15"/>
  <c r="N14" i="15" s="1"/>
  <c r="D14" i="15"/>
  <c r="B14" i="15"/>
  <c r="T13" i="15"/>
  <c r="P13" i="15"/>
  <c r="H13" i="15"/>
  <c r="D13" i="15"/>
  <c r="B13" i="15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P12" i="14"/>
  <c r="R36" i="14" s="1"/>
  <c r="H12" i="14"/>
  <c r="J16" i="14" s="1"/>
  <c r="D12" i="14"/>
  <c r="F20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2" i="13" s="1"/>
  <c r="P12" i="13"/>
  <c r="R36" i="13" s="1"/>
  <c r="H12" i="13"/>
  <c r="D12" i="13"/>
  <c r="F22" i="13" s="1"/>
  <c r="D5" i="13"/>
  <c r="D4" i="13"/>
  <c r="Z189" i="12"/>
  <c r="X189" i="12"/>
  <c r="L189" i="12"/>
  <c r="N189" i="12" s="1"/>
  <c r="X185" i="12"/>
  <c r="Z185" i="12" s="1"/>
  <c r="T185" i="12"/>
  <c r="P185" i="12"/>
  <c r="L185" i="12"/>
  <c r="H185" i="12"/>
  <c r="N185" i="12" s="1"/>
  <c r="D185" i="12"/>
  <c r="B185" i="12"/>
  <c r="T184" i="12"/>
  <c r="P184" i="12"/>
  <c r="X184" i="12" s="1"/>
  <c r="H184" i="12"/>
  <c r="N184" i="12" s="1"/>
  <c r="D184" i="12"/>
  <c r="L184" i="12" s="1"/>
  <c r="B184" i="12"/>
  <c r="T183" i="12"/>
  <c r="P183" i="12"/>
  <c r="L183" i="12"/>
  <c r="N183" i="12" s="1"/>
  <c r="H183" i="12"/>
  <c r="D183" i="12"/>
  <c r="B183" i="12"/>
  <c r="T182" i="12"/>
  <c r="H182" i="12"/>
  <c r="N182" i="12" s="1"/>
  <c r="D182" i="12"/>
  <c r="L182" i="12" s="1"/>
  <c r="X180" i="12"/>
  <c r="Z180" i="12" s="1"/>
  <c r="N180" i="12"/>
  <c r="L180" i="12"/>
  <c r="B180" i="12"/>
  <c r="T179" i="12"/>
  <c r="P179" i="12"/>
  <c r="X179" i="12" s="1"/>
  <c r="H179" i="12"/>
  <c r="D179" i="12"/>
  <c r="L179" i="12" s="1"/>
  <c r="N179" i="12" s="1"/>
  <c r="B179" i="12"/>
  <c r="X178" i="12"/>
  <c r="Z178" i="12" s="1"/>
  <c r="N178" i="12"/>
  <c r="L178" i="12"/>
  <c r="B178" i="12"/>
  <c r="Z177" i="12"/>
  <c r="X177" i="12"/>
  <c r="L177" i="12"/>
  <c r="N177" i="12" s="1"/>
  <c r="B177" i="12"/>
  <c r="X176" i="12"/>
  <c r="Z176" i="12" s="1"/>
  <c r="N176" i="12"/>
  <c r="L176" i="12"/>
  <c r="B176" i="12"/>
  <c r="T175" i="12"/>
  <c r="P175" i="12"/>
  <c r="H175" i="12"/>
  <c r="D175" i="12"/>
  <c r="L175" i="12" s="1"/>
  <c r="N175" i="12" s="1"/>
  <c r="B175" i="12"/>
  <c r="X174" i="12"/>
  <c r="Z174" i="12" s="1"/>
  <c r="N174" i="12"/>
  <c r="L174" i="12"/>
  <c r="B174" i="12"/>
  <c r="T173" i="12"/>
  <c r="P173" i="12"/>
  <c r="X173" i="12" s="1"/>
  <c r="Z173" i="12" s="1"/>
  <c r="L173" i="12"/>
  <c r="N173" i="12" s="1"/>
  <c r="H173" i="12"/>
  <c r="D173" i="12"/>
  <c r="B173" i="12"/>
  <c r="Z172" i="12"/>
  <c r="X172" i="12"/>
  <c r="L172" i="12"/>
  <c r="N172" i="12" s="1"/>
  <c r="B172" i="12"/>
  <c r="X171" i="12"/>
  <c r="Z171" i="12" s="1"/>
  <c r="N171" i="12"/>
  <c r="L171" i="12"/>
  <c r="B171" i="12"/>
  <c r="X170" i="12"/>
  <c r="Z170" i="12" s="1"/>
  <c r="T170" i="12"/>
  <c r="P170" i="12"/>
  <c r="H170" i="12"/>
  <c r="L170" i="12" s="1"/>
  <c r="N170" i="12" s="1"/>
  <c r="D170" i="12"/>
  <c r="B170" i="12"/>
  <c r="X169" i="12"/>
  <c r="Z169" i="12" s="1"/>
  <c r="N169" i="12"/>
  <c r="L169" i="12"/>
  <c r="B169" i="12"/>
  <c r="Z168" i="12"/>
  <c r="X168" i="12"/>
  <c r="L168" i="12"/>
  <c r="N168" i="12" s="1"/>
  <c r="B168" i="12"/>
  <c r="Z167" i="12"/>
  <c r="X167" i="12"/>
  <c r="N167" i="12"/>
  <c r="L167" i="12"/>
  <c r="B167" i="12"/>
  <c r="X166" i="12"/>
  <c r="Z166" i="12" s="1"/>
  <c r="N166" i="12"/>
  <c r="L166" i="12"/>
  <c r="B166" i="12"/>
  <c r="Z165" i="12"/>
  <c r="X165" i="12"/>
  <c r="L165" i="12"/>
  <c r="N165" i="12" s="1"/>
  <c r="B165" i="12"/>
  <c r="X164" i="12"/>
  <c r="Z164" i="12" s="1"/>
  <c r="N164" i="12"/>
  <c r="L164" i="12"/>
  <c r="B164" i="12"/>
  <c r="T163" i="12"/>
  <c r="P163" i="12"/>
  <c r="H163" i="12"/>
  <c r="D163" i="12"/>
  <c r="L163" i="12" s="1"/>
  <c r="N163" i="12" s="1"/>
  <c r="B163" i="12"/>
  <c r="X162" i="12"/>
  <c r="Z162" i="12" s="1"/>
  <c r="N162" i="12"/>
  <c r="L162" i="12"/>
  <c r="B162" i="12"/>
  <c r="Z161" i="12"/>
  <c r="X161" i="12"/>
  <c r="L161" i="12"/>
  <c r="N161" i="12" s="1"/>
  <c r="B161" i="12"/>
  <c r="T160" i="12"/>
  <c r="P160" i="12"/>
  <c r="X160" i="12" s="1"/>
  <c r="Z160" i="12" s="1"/>
  <c r="L160" i="12"/>
  <c r="N160" i="12" s="1"/>
  <c r="H160" i="12"/>
  <c r="D160" i="12"/>
  <c r="B160" i="12"/>
  <c r="Z159" i="12"/>
  <c r="X159" i="12"/>
  <c r="N159" i="12"/>
  <c r="L159" i="12"/>
  <c r="B159" i="12"/>
  <c r="X158" i="12"/>
  <c r="Z158" i="12" s="1"/>
  <c r="N158" i="12"/>
  <c r="L158" i="12"/>
  <c r="B158" i="12"/>
  <c r="Z157" i="12"/>
  <c r="X157" i="12"/>
  <c r="L157" i="12"/>
  <c r="N157" i="12" s="1"/>
  <c r="B157" i="12"/>
  <c r="X156" i="12"/>
  <c r="Z156" i="12" s="1"/>
  <c r="N156" i="12"/>
  <c r="L156" i="12"/>
  <c r="B156" i="12"/>
  <c r="T155" i="12"/>
  <c r="P155" i="12"/>
  <c r="H155" i="12"/>
  <c r="D155" i="12"/>
  <c r="L155" i="12" s="1"/>
  <c r="N155" i="12" s="1"/>
  <c r="B155" i="12"/>
  <c r="X154" i="12"/>
  <c r="Z154" i="12" s="1"/>
  <c r="N154" i="12"/>
  <c r="L154" i="12"/>
  <c r="B154" i="12"/>
  <c r="Z153" i="12"/>
  <c r="X153" i="12"/>
  <c r="N153" i="12"/>
  <c r="L153" i="12"/>
  <c r="B153" i="12"/>
  <c r="X152" i="12"/>
  <c r="Z152" i="12" s="1"/>
  <c r="N152" i="12"/>
  <c r="L152" i="12"/>
  <c r="B152" i="12"/>
  <c r="T151" i="12"/>
  <c r="P151" i="12"/>
  <c r="X151" i="12" s="1"/>
  <c r="H151" i="12"/>
  <c r="D151" i="12"/>
  <c r="L151" i="12" s="1"/>
  <c r="N151" i="12" s="1"/>
  <c r="B151" i="12"/>
  <c r="X150" i="12"/>
  <c r="Z150" i="12" s="1"/>
  <c r="N150" i="12"/>
  <c r="L150" i="12"/>
  <c r="B150" i="12"/>
  <c r="Z149" i="12"/>
  <c r="X149" i="12"/>
  <c r="L149" i="12"/>
  <c r="N149" i="12" s="1"/>
  <c r="B149" i="12"/>
  <c r="X148" i="12"/>
  <c r="Z148" i="12" s="1"/>
  <c r="N148" i="12"/>
  <c r="L148" i="12"/>
  <c r="B148" i="12"/>
  <c r="T147" i="12"/>
  <c r="P147" i="12"/>
  <c r="H147" i="12"/>
  <c r="D147" i="12"/>
  <c r="L147" i="12" s="1"/>
  <c r="N147" i="12" s="1"/>
  <c r="B147" i="12"/>
  <c r="X146" i="12"/>
  <c r="Z146" i="12" s="1"/>
  <c r="N146" i="12"/>
  <c r="L146" i="12"/>
  <c r="B146" i="12"/>
  <c r="T145" i="12"/>
  <c r="P145" i="12"/>
  <c r="X145" i="12" s="1"/>
  <c r="Z145" i="12" s="1"/>
  <c r="L145" i="12"/>
  <c r="N145" i="12" s="1"/>
  <c r="H145" i="12"/>
  <c r="D145" i="12"/>
  <c r="B145" i="12"/>
  <c r="Z144" i="12"/>
  <c r="X144" i="12"/>
  <c r="N144" i="12"/>
  <c r="L144" i="12"/>
  <c r="B144" i="12"/>
  <c r="X143" i="12"/>
  <c r="Z143" i="12" s="1"/>
  <c r="N143" i="12"/>
  <c r="L143" i="12"/>
  <c r="B143" i="12"/>
  <c r="X142" i="12"/>
  <c r="Z142" i="12" s="1"/>
  <c r="T142" i="12"/>
  <c r="P142" i="12"/>
  <c r="H142" i="12"/>
  <c r="L142" i="12" s="1"/>
  <c r="N142" i="12" s="1"/>
  <c r="D142" i="12"/>
  <c r="B142" i="12"/>
  <c r="X141" i="12"/>
  <c r="Z141" i="12" s="1"/>
  <c r="N141" i="12"/>
  <c r="L141" i="12"/>
  <c r="B141" i="12"/>
  <c r="T140" i="12"/>
  <c r="X140" i="12" s="1"/>
  <c r="Z140" i="12" s="1"/>
  <c r="P140" i="12"/>
  <c r="H140" i="12"/>
  <c r="D140" i="12"/>
  <c r="L140" i="12" s="1"/>
  <c r="B140" i="12"/>
  <c r="Z139" i="12"/>
  <c r="X139" i="12"/>
  <c r="N139" i="12"/>
  <c r="L139" i="12"/>
  <c r="B139" i="12"/>
  <c r="T138" i="12"/>
  <c r="Z138" i="12" s="1"/>
  <c r="P138" i="12"/>
  <c r="X138" i="12" s="1"/>
  <c r="H138" i="12"/>
  <c r="D138" i="12"/>
  <c r="L138" i="12" s="1"/>
  <c r="B138" i="12"/>
  <c r="Z137" i="12"/>
  <c r="X137" i="12"/>
  <c r="L137" i="12"/>
  <c r="N137" i="12" s="1"/>
  <c r="B137" i="12"/>
  <c r="T136" i="12"/>
  <c r="P136" i="12"/>
  <c r="X136" i="12" s="1"/>
  <c r="L136" i="12"/>
  <c r="N136" i="12" s="1"/>
  <c r="H136" i="12"/>
  <c r="D136" i="12"/>
  <c r="B136" i="12"/>
  <c r="Z135" i="12"/>
  <c r="X135" i="12"/>
  <c r="N135" i="12"/>
  <c r="L135" i="12"/>
  <c r="B135" i="12"/>
  <c r="X134" i="12"/>
  <c r="Z134" i="12" s="1"/>
  <c r="N134" i="12"/>
  <c r="L134" i="12"/>
  <c r="B134" i="12"/>
  <c r="T133" i="12"/>
  <c r="P133" i="12"/>
  <c r="X133" i="12" s="1"/>
  <c r="Z133" i="12" s="1"/>
  <c r="N133" i="12"/>
  <c r="L133" i="12"/>
  <c r="H133" i="12"/>
  <c r="D133" i="12"/>
  <c r="B133" i="12"/>
  <c r="Z132" i="12"/>
  <c r="X132" i="12"/>
  <c r="L132" i="12"/>
  <c r="N132" i="12" s="1"/>
  <c r="B132" i="12"/>
  <c r="Z131" i="12"/>
  <c r="X131" i="12"/>
  <c r="T131" i="12"/>
  <c r="P131" i="12"/>
  <c r="L131" i="12"/>
  <c r="H131" i="12"/>
  <c r="N131" i="12" s="1"/>
  <c r="D131" i="12"/>
  <c r="B131" i="12"/>
  <c r="Z130" i="12"/>
  <c r="X130" i="12"/>
  <c r="L130" i="12"/>
  <c r="N130" i="12" s="1"/>
  <c r="B130" i="12"/>
  <c r="X129" i="12"/>
  <c r="T129" i="12"/>
  <c r="Z129" i="12" s="1"/>
  <c r="P129" i="12"/>
  <c r="H129" i="12"/>
  <c r="D129" i="12"/>
  <c r="B129" i="12"/>
  <c r="Z128" i="12"/>
  <c r="X128" i="12"/>
  <c r="N128" i="12"/>
  <c r="L128" i="12"/>
  <c r="B128" i="12"/>
  <c r="Z127" i="12"/>
  <c r="X127" i="12"/>
  <c r="N127" i="12"/>
  <c r="L127" i="12"/>
  <c r="B127" i="12"/>
  <c r="T126" i="12"/>
  <c r="Z126" i="12" s="1"/>
  <c r="P126" i="12"/>
  <c r="X126" i="12" s="1"/>
  <c r="N126" i="12"/>
  <c r="H126" i="12"/>
  <c r="D126" i="12"/>
  <c r="L126" i="12" s="1"/>
  <c r="B126" i="12"/>
  <c r="Z125" i="12"/>
  <c r="X125" i="12"/>
  <c r="L125" i="12"/>
  <c r="N125" i="12" s="1"/>
  <c r="B125" i="12"/>
  <c r="X124" i="12"/>
  <c r="Z124" i="12" s="1"/>
  <c r="N124" i="12"/>
  <c r="L124" i="12"/>
  <c r="B124" i="12"/>
  <c r="T123" i="12"/>
  <c r="P123" i="12"/>
  <c r="H123" i="12"/>
  <c r="D123" i="12"/>
  <c r="L123" i="12" s="1"/>
  <c r="N123" i="12" s="1"/>
  <c r="B123" i="12"/>
  <c r="X122" i="12"/>
  <c r="Z122" i="12" s="1"/>
  <c r="N122" i="12"/>
  <c r="L122" i="12"/>
  <c r="B122" i="12"/>
  <c r="T121" i="12"/>
  <c r="P121" i="12"/>
  <c r="X121" i="12" s="1"/>
  <c r="Z121" i="12" s="1"/>
  <c r="L121" i="12"/>
  <c r="N121" i="12" s="1"/>
  <c r="H121" i="12"/>
  <c r="D121" i="12"/>
  <c r="B121" i="12"/>
  <c r="Z120" i="12"/>
  <c r="X120" i="12"/>
  <c r="L120" i="12"/>
  <c r="N120" i="12" s="1"/>
  <c r="B120" i="12"/>
  <c r="X119" i="12"/>
  <c r="Z119" i="12" s="1"/>
  <c r="T119" i="12"/>
  <c r="P119" i="12"/>
  <c r="L119" i="12"/>
  <c r="H119" i="12"/>
  <c r="N119" i="12" s="1"/>
  <c r="D119" i="12"/>
  <c r="B119" i="12"/>
  <c r="Z118" i="12"/>
  <c r="X118" i="12"/>
  <c r="L118" i="12"/>
  <c r="N118" i="12" s="1"/>
  <c r="B118" i="12"/>
  <c r="X117" i="12"/>
  <c r="T117" i="12"/>
  <c r="P117" i="12"/>
  <c r="H117" i="12"/>
  <c r="D117" i="12"/>
  <c r="B117" i="12"/>
  <c r="Z116" i="12"/>
  <c r="X116" i="12"/>
  <c r="N116" i="12"/>
  <c r="L116" i="12"/>
  <c r="B116" i="12"/>
  <c r="X115" i="12"/>
  <c r="Z115" i="12" s="1"/>
  <c r="L115" i="12"/>
  <c r="N115" i="12" s="1"/>
  <c r="B115" i="12"/>
  <c r="Z114" i="12"/>
  <c r="X114" i="12"/>
  <c r="L114" i="12"/>
  <c r="N114" i="12" s="1"/>
  <c r="B114" i="12"/>
  <c r="X113" i="12"/>
  <c r="Z113" i="12" s="1"/>
  <c r="N113" i="12"/>
  <c r="L113" i="12"/>
  <c r="B113" i="12"/>
  <c r="Z112" i="12"/>
  <c r="X112" i="12"/>
  <c r="L112" i="12"/>
  <c r="N112" i="12" s="1"/>
  <c r="B112" i="12"/>
  <c r="X111" i="12"/>
  <c r="Z111" i="12" s="1"/>
  <c r="L111" i="12"/>
  <c r="N111" i="12" s="1"/>
  <c r="B111" i="12"/>
  <c r="X110" i="12"/>
  <c r="Z110" i="12" s="1"/>
  <c r="N110" i="12"/>
  <c r="L110" i="12"/>
  <c r="B110" i="12"/>
  <c r="T109" i="12"/>
  <c r="P109" i="12"/>
  <c r="X109" i="12" s="1"/>
  <c r="Z109" i="12" s="1"/>
  <c r="L109" i="12"/>
  <c r="N109" i="12" s="1"/>
  <c r="H109" i="12"/>
  <c r="D109" i="12"/>
  <c r="B109" i="12"/>
  <c r="Z108" i="12"/>
  <c r="X108" i="12"/>
  <c r="L108" i="12"/>
  <c r="N108" i="12" s="1"/>
  <c r="B108" i="12"/>
  <c r="X107" i="12"/>
  <c r="Z107" i="12" s="1"/>
  <c r="L107" i="12"/>
  <c r="N107" i="12" s="1"/>
  <c r="B107" i="12"/>
  <c r="X106" i="12"/>
  <c r="Z106" i="12" s="1"/>
  <c r="N106" i="12"/>
  <c r="L106" i="12"/>
  <c r="B106" i="12"/>
  <c r="Z105" i="12"/>
  <c r="X105" i="12"/>
  <c r="L105" i="12"/>
  <c r="N105" i="12" s="1"/>
  <c r="B105" i="12"/>
  <c r="Z104" i="12"/>
  <c r="X104" i="12"/>
  <c r="N104" i="12"/>
  <c r="L104" i="12"/>
  <c r="B104" i="12"/>
  <c r="Z103" i="12"/>
  <c r="X103" i="12"/>
  <c r="L103" i="12"/>
  <c r="N103" i="12" s="1"/>
  <c r="B103" i="12"/>
  <c r="Z102" i="12"/>
  <c r="X102" i="12"/>
  <c r="L102" i="12"/>
  <c r="N102" i="12" s="1"/>
  <c r="B102" i="12"/>
  <c r="X101" i="12"/>
  <c r="Z101" i="12" s="1"/>
  <c r="N101" i="12"/>
  <c r="L101" i="12"/>
  <c r="B101" i="12"/>
  <c r="Z100" i="12"/>
  <c r="X100" i="12"/>
  <c r="L100" i="12"/>
  <c r="N100" i="12" s="1"/>
  <c r="B100" i="12"/>
  <c r="X99" i="12"/>
  <c r="Z99" i="12" s="1"/>
  <c r="L99" i="12"/>
  <c r="N99" i="12" s="1"/>
  <c r="B99" i="12"/>
  <c r="X98" i="12"/>
  <c r="Z98" i="12" s="1"/>
  <c r="T98" i="12"/>
  <c r="P98" i="12"/>
  <c r="N98" i="12"/>
  <c r="H98" i="12"/>
  <c r="L98" i="12" s="1"/>
  <c r="D98" i="12"/>
  <c r="B98" i="12"/>
  <c r="X97" i="12"/>
  <c r="T97" i="12"/>
  <c r="Z97" i="12" s="1"/>
  <c r="P97" i="12"/>
  <c r="H97" i="12"/>
  <c r="D97" i="12"/>
  <c r="L97" i="12" s="1"/>
  <c r="Z93" i="12"/>
  <c r="X93" i="12"/>
  <c r="N93" i="12"/>
  <c r="L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B90" i="12"/>
  <c r="Z89" i="12"/>
  <c r="X89" i="12"/>
  <c r="L89" i="12"/>
  <c r="N89" i="12" s="1"/>
  <c r="B89" i="12"/>
  <c r="Z88" i="12"/>
  <c r="X88" i="12"/>
  <c r="N88" i="12"/>
  <c r="L88" i="12"/>
  <c r="B88" i="12"/>
  <c r="X87" i="12"/>
  <c r="Z87" i="12" s="1"/>
  <c r="L87" i="12"/>
  <c r="N87" i="12" s="1"/>
  <c r="B87" i="12"/>
  <c r="Z86" i="12"/>
  <c r="X86" i="12"/>
  <c r="N86" i="12"/>
  <c r="L86" i="12"/>
  <c r="B86" i="12"/>
  <c r="X85" i="12"/>
  <c r="Z85" i="12" s="1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Z82" i="12"/>
  <c r="X82" i="12"/>
  <c r="N82" i="12"/>
  <c r="L82" i="12"/>
  <c r="B82" i="12"/>
  <c r="Z81" i="12"/>
  <c r="X81" i="12"/>
  <c r="L81" i="12"/>
  <c r="N81" i="12" s="1"/>
  <c r="B81" i="12"/>
  <c r="Z80" i="12"/>
  <c r="X80" i="12"/>
  <c r="N80" i="12"/>
  <c r="L80" i="12"/>
  <c r="B80" i="12"/>
  <c r="Z79" i="12"/>
  <c r="X79" i="12"/>
  <c r="L79" i="12"/>
  <c r="N79" i="12" s="1"/>
  <c r="B79" i="12"/>
  <c r="Z78" i="12"/>
  <c r="X78" i="12"/>
  <c r="N78" i="12"/>
  <c r="L78" i="12"/>
  <c r="B78" i="12"/>
  <c r="Z77" i="12"/>
  <c r="X77" i="12"/>
  <c r="N77" i="12"/>
  <c r="L77" i="12"/>
  <c r="B77" i="12"/>
  <c r="Z76" i="12"/>
  <c r="X76" i="12"/>
  <c r="N76" i="12"/>
  <c r="L76" i="12"/>
  <c r="B76" i="12"/>
  <c r="X75" i="12"/>
  <c r="Z75" i="12" s="1"/>
  <c r="N75" i="12"/>
  <c r="L75" i="12"/>
  <c r="B75" i="12"/>
  <c r="Z74" i="12"/>
  <c r="X74" i="12"/>
  <c r="N74" i="12"/>
  <c r="L74" i="12"/>
  <c r="B74" i="12"/>
  <c r="Z73" i="12"/>
  <c r="X73" i="12"/>
  <c r="L73" i="12"/>
  <c r="N73" i="12" s="1"/>
  <c r="B73" i="12"/>
  <c r="Z72" i="12"/>
  <c r="X72" i="12"/>
  <c r="N72" i="12"/>
  <c r="L72" i="12"/>
  <c r="B72" i="12"/>
  <c r="X71" i="12"/>
  <c r="Z71" i="12" s="1"/>
  <c r="L71" i="12"/>
  <c r="N71" i="12" s="1"/>
  <c r="B71" i="12"/>
  <c r="Z70" i="12"/>
  <c r="X70" i="12"/>
  <c r="N70" i="12"/>
  <c r="L70" i="12"/>
  <c r="B70" i="12"/>
  <c r="X69" i="12"/>
  <c r="Z69" i="12" s="1"/>
  <c r="N69" i="12"/>
  <c r="L69" i="12"/>
  <c r="B69" i="12"/>
  <c r="Z68" i="12"/>
  <c r="X68" i="12"/>
  <c r="N68" i="12"/>
  <c r="L68" i="12"/>
  <c r="B68" i="12"/>
  <c r="X67" i="12"/>
  <c r="Z67" i="12" s="1"/>
  <c r="L67" i="12"/>
  <c r="N67" i="12" s="1"/>
  <c r="B67" i="12"/>
  <c r="Z66" i="12"/>
  <c r="X66" i="12"/>
  <c r="N66" i="12"/>
  <c r="L66" i="12"/>
  <c r="B66" i="12"/>
  <c r="Z65" i="12"/>
  <c r="X65" i="12"/>
  <c r="N65" i="12"/>
  <c r="L65" i="12"/>
  <c r="B65" i="12"/>
  <c r="T64" i="12"/>
  <c r="P64" i="12"/>
  <c r="X64" i="12" s="1"/>
  <c r="Z64" i="12" s="1"/>
  <c r="N64" i="12"/>
  <c r="L64" i="12"/>
  <c r="H64" i="12"/>
  <c r="D64" i="12"/>
  <c r="T62" i="12"/>
  <c r="P62" i="12"/>
  <c r="X62" i="12" s="1"/>
  <c r="Z62" i="12" s="1"/>
  <c r="H62" i="12"/>
  <c r="D62" i="12"/>
  <c r="L62" i="12" s="1"/>
  <c r="N62" i="12" s="1"/>
  <c r="B62" i="12"/>
  <c r="X61" i="12"/>
  <c r="T61" i="12"/>
  <c r="Z61" i="12" s="1"/>
  <c r="P61" i="12"/>
  <c r="H61" i="12"/>
  <c r="D61" i="12"/>
  <c r="L61" i="12" s="1"/>
  <c r="B61" i="12"/>
  <c r="Z60" i="12"/>
  <c r="X60" i="12"/>
  <c r="T60" i="12"/>
  <c r="P60" i="12"/>
  <c r="H60" i="12"/>
  <c r="D60" i="12"/>
  <c r="L60" i="12" s="1"/>
  <c r="B60" i="12"/>
  <c r="Z59" i="12"/>
  <c r="X59" i="12"/>
  <c r="T59" i="12"/>
  <c r="P59" i="12"/>
  <c r="L59" i="12"/>
  <c r="H59" i="12"/>
  <c r="N59" i="12" s="1"/>
  <c r="D59" i="12"/>
  <c r="B59" i="12"/>
  <c r="T58" i="12"/>
  <c r="P58" i="12"/>
  <c r="X58" i="12" s="1"/>
  <c r="Z58" i="12" s="1"/>
  <c r="N58" i="12"/>
  <c r="H58" i="12"/>
  <c r="D58" i="12"/>
  <c r="L58" i="12" s="1"/>
  <c r="B58" i="12"/>
  <c r="T57" i="12"/>
  <c r="Z57" i="12" s="1"/>
  <c r="P57" i="12"/>
  <c r="X57" i="12" s="1"/>
  <c r="L57" i="12"/>
  <c r="H57" i="12"/>
  <c r="N57" i="12" s="1"/>
  <c r="D57" i="12"/>
  <c r="B57" i="12"/>
  <c r="T56" i="12"/>
  <c r="P56" i="12"/>
  <c r="X56" i="12" s="1"/>
  <c r="N56" i="12"/>
  <c r="L56" i="12"/>
  <c r="H56" i="12"/>
  <c r="D56" i="12"/>
  <c r="B56" i="12"/>
  <c r="X55" i="12"/>
  <c r="T55" i="12"/>
  <c r="P55" i="12"/>
  <c r="N55" i="12"/>
  <c r="L55" i="12"/>
  <c r="H55" i="12"/>
  <c r="D55" i="12"/>
  <c r="B55" i="12"/>
  <c r="Z54" i="12"/>
  <c r="T54" i="12"/>
  <c r="P54" i="12"/>
  <c r="X54" i="12" s="1"/>
  <c r="H54" i="12"/>
  <c r="D54" i="12"/>
  <c r="L54" i="12" s="1"/>
  <c r="N54" i="12" s="1"/>
  <c r="B54" i="12"/>
  <c r="X53" i="12"/>
  <c r="T53" i="12"/>
  <c r="Z53" i="12" s="1"/>
  <c r="P53" i="12"/>
  <c r="H53" i="12"/>
  <c r="D53" i="12"/>
  <c r="L53" i="12" s="1"/>
  <c r="B53" i="12"/>
  <c r="Z52" i="12"/>
  <c r="X52" i="12"/>
  <c r="T52" i="12"/>
  <c r="P52" i="12"/>
  <c r="H52" i="12"/>
  <c r="D52" i="12"/>
  <c r="B52" i="12"/>
  <c r="Z51" i="12"/>
  <c r="X51" i="12"/>
  <c r="T51" i="12"/>
  <c r="P51" i="12"/>
  <c r="L51" i="12"/>
  <c r="H51" i="12"/>
  <c r="D51" i="12"/>
  <c r="B51" i="12"/>
  <c r="T50" i="12"/>
  <c r="P50" i="12"/>
  <c r="X50" i="12" s="1"/>
  <c r="Z50" i="12" s="1"/>
  <c r="H50" i="12"/>
  <c r="D50" i="12"/>
  <c r="L50" i="12" s="1"/>
  <c r="N50" i="12" s="1"/>
  <c r="B50" i="12"/>
  <c r="T49" i="12"/>
  <c r="P49" i="12"/>
  <c r="X49" i="12" s="1"/>
  <c r="L49" i="12"/>
  <c r="H49" i="12"/>
  <c r="N49" i="12" s="1"/>
  <c r="D49" i="12"/>
  <c r="B49" i="12"/>
  <c r="T48" i="12"/>
  <c r="Z48" i="12" s="1"/>
  <c r="P48" i="12"/>
  <c r="N48" i="12"/>
  <c r="L48" i="12"/>
  <c r="H48" i="12"/>
  <c r="D48" i="12"/>
  <c r="B48" i="12"/>
  <c r="X47" i="12"/>
  <c r="T47" i="12"/>
  <c r="Z47" i="12" s="1"/>
  <c r="P47" i="12"/>
  <c r="N47" i="12"/>
  <c r="L47" i="12"/>
  <c r="H47" i="12"/>
  <c r="D47" i="12"/>
  <c r="B47" i="12"/>
  <c r="Z46" i="12"/>
  <c r="T46" i="12"/>
  <c r="P46" i="12"/>
  <c r="X46" i="12" s="1"/>
  <c r="N46" i="12"/>
  <c r="H46" i="12"/>
  <c r="D46" i="12"/>
  <c r="L46" i="12" s="1"/>
  <c r="B46" i="12"/>
  <c r="X45" i="12"/>
  <c r="T45" i="12"/>
  <c r="Z45" i="12" s="1"/>
  <c r="P45" i="12"/>
  <c r="H45" i="12"/>
  <c r="N45" i="12" s="1"/>
  <c r="D45" i="12"/>
  <c r="L45" i="12" s="1"/>
  <c r="B45" i="12"/>
  <c r="Z44" i="12"/>
  <c r="X44" i="12"/>
  <c r="T44" i="12"/>
  <c r="P44" i="12"/>
  <c r="H44" i="12"/>
  <c r="D44" i="12"/>
  <c r="B44" i="12"/>
  <c r="Z43" i="12"/>
  <c r="X43" i="12"/>
  <c r="T43" i="12"/>
  <c r="P43" i="12"/>
  <c r="L43" i="12"/>
  <c r="H43" i="12"/>
  <c r="N43" i="12" s="1"/>
  <c r="D43" i="12"/>
  <c r="B43" i="12"/>
  <c r="T42" i="12"/>
  <c r="P42" i="12"/>
  <c r="X42" i="12" s="1"/>
  <c r="Z42" i="12" s="1"/>
  <c r="H42" i="12"/>
  <c r="D42" i="12"/>
  <c r="L42" i="12" s="1"/>
  <c r="N42" i="12" s="1"/>
  <c r="B42" i="12"/>
  <c r="T41" i="12"/>
  <c r="Z41" i="12" s="1"/>
  <c r="P41" i="12"/>
  <c r="X41" i="12" s="1"/>
  <c r="L41" i="12"/>
  <c r="H41" i="12"/>
  <c r="N41" i="12" s="1"/>
  <c r="D41" i="12"/>
  <c r="B41" i="12"/>
  <c r="T40" i="12"/>
  <c r="P40" i="12"/>
  <c r="X40" i="12" s="1"/>
  <c r="N40" i="12"/>
  <c r="L40" i="12"/>
  <c r="H40" i="12"/>
  <c r="D40" i="12"/>
  <c r="B40" i="12"/>
  <c r="X39" i="12"/>
  <c r="T39" i="12"/>
  <c r="Z39" i="12" s="1"/>
  <c r="P39" i="12"/>
  <c r="N39" i="12"/>
  <c r="L39" i="12"/>
  <c r="H39" i="12"/>
  <c r="D39" i="12"/>
  <c r="B39" i="12"/>
  <c r="T38" i="12"/>
  <c r="P38" i="12"/>
  <c r="X38" i="12" s="1"/>
  <c r="Z38" i="12" s="1"/>
  <c r="H38" i="12"/>
  <c r="D38" i="12"/>
  <c r="L38" i="12" s="1"/>
  <c r="N38" i="12" s="1"/>
  <c r="B38" i="12"/>
  <c r="X37" i="12"/>
  <c r="T37" i="12"/>
  <c r="Z37" i="12" s="1"/>
  <c r="P37" i="12"/>
  <c r="H37" i="12"/>
  <c r="D37" i="12"/>
  <c r="L37" i="12" s="1"/>
  <c r="B37" i="12"/>
  <c r="Z36" i="12"/>
  <c r="X36" i="12"/>
  <c r="T36" i="12"/>
  <c r="P36" i="12"/>
  <c r="H36" i="12"/>
  <c r="D36" i="12"/>
  <c r="L36" i="12" s="1"/>
  <c r="B36" i="12"/>
  <c r="Z35" i="12"/>
  <c r="X35" i="12"/>
  <c r="T35" i="12"/>
  <c r="P35" i="12"/>
  <c r="L35" i="12"/>
  <c r="H35" i="12"/>
  <c r="N35" i="12" s="1"/>
  <c r="D35" i="12"/>
  <c r="B35" i="12"/>
  <c r="T34" i="12"/>
  <c r="P34" i="12"/>
  <c r="X34" i="12" s="1"/>
  <c r="Z34" i="12" s="1"/>
  <c r="H34" i="12"/>
  <c r="D34" i="12"/>
  <c r="L34" i="12" s="1"/>
  <c r="N34" i="12" s="1"/>
  <c r="B34" i="12"/>
  <c r="T33" i="12"/>
  <c r="P33" i="12"/>
  <c r="X33" i="12" s="1"/>
  <c r="L33" i="12"/>
  <c r="H33" i="12"/>
  <c r="N33" i="12" s="1"/>
  <c r="D33" i="12"/>
  <c r="B33" i="12"/>
  <c r="T32" i="12"/>
  <c r="P32" i="12"/>
  <c r="X32" i="12" s="1"/>
  <c r="N32" i="12"/>
  <c r="L32" i="12"/>
  <c r="H32" i="12"/>
  <c r="D32" i="12"/>
  <c r="B32" i="12"/>
  <c r="X31" i="12"/>
  <c r="T31" i="12"/>
  <c r="Z31" i="12" s="1"/>
  <c r="P31" i="12"/>
  <c r="N31" i="12"/>
  <c r="L31" i="12"/>
  <c r="H31" i="12"/>
  <c r="D31" i="12"/>
  <c r="B31" i="12"/>
  <c r="T30" i="12"/>
  <c r="P30" i="12"/>
  <c r="X30" i="12" s="1"/>
  <c r="Z30" i="12" s="1"/>
  <c r="H30" i="12"/>
  <c r="D30" i="12"/>
  <c r="L30" i="12" s="1"/>
  <c r="N30" i="12" s="1"/>
  <c r="B30" i="12"/>
  <c r="X29" i="12"/>
  <c r="T29" i="12"/>
  <c r="Z29" i="12" s="1"/>
  <c r="P29" i="12"/>
  <c r="H29" i="12"/>
  <c r="D29" i="12"/>
  <c r="L29" i="12" s="1"/>
  <c r="B29" i="12"/>
  <c r="Z28" i="12"/>
  <c r="X28" i="12"/>
  <c r="T28" i="12"/>
  <c r="P28" i="12"/>
  <c r="H28" i="12"/>
  <c r="D28" i="12"/>
  <c r="L28" i="12" s="1"/>
  <c r="B28" i="12"/>
  <c r="Z27" i="12"/>
  <c r="X27" i="12"/>
  <c r="T27" i="12"/>
  <c r="P27" i="12"/>
  <c r="L27" i="12"/>
  <c r="H27" i="12"/>
  <c r="N27" i="12" s="1"/>
  <c r="D27" i="12"/>
  <c r="B27" i="12"/>
  <c r="T26" i="12"/>
  <c r="P26" i="12"/>
  <c r="X26" i="12" s="1"/>
  <c r="Z26" i="12" s="1"/>
  <c r="N26" i="12"/>
  <c r="H26" i="12"/>
  <c r="D26" i="12"/>
  <c r="L26" i="12" s="1"/>
  <c r="B26" i="12"/>
  <c r="T25" i="12"/>
  <c r="P25" i="12"/>
  <c r="X25" i="12" s="1"/>
  <c r="H25" i="12"/>
  <c r="D25" i="12"/>
  <c r="B25" i="12"/>
  <c r="T24" i="12"/>
  <c r="P24" i="12"/>
  <c r="X24" i="12" s="1"/>
  <c r="L24" i="12"/>
  <c r="N24" i="12" s="1"/>
  <c r="H24" i="12"/>
  <c r="D24" i="12"/>
  <c r="B24" i="12"/>
  <c r="X23" i="12"/>
  <c r="T23" i="12"/>
  <c r="P23" i="12"/>
  <c r="N23" i="12"/>
  <c r="L23" i="12"/>
  <c r="H23" i="12"/>
  <c r="D23" i="12"/>
  <c r="B23" i="12"/>
  <c r="Z22" i="12"/>
  <c r="T22" i="12"/>
  <c r="P22" i="12"/>
  <c r="X22" i="12" s="1"/>
  <c r="H22" i="12"/>
  <c r="D22" i="12"/>
  <c r="L22" i="12" s="1"/>
  <c r="N22" i="12" s="1"/>
  <c r="B22" i="12"/>
  <c r="T21" i="12"/>
  <c r="P21" i="12"/>
  <c r="H21" i="12"/>
  <c r="N21" i="12" s="1"/>
  <c r="D21" i="12"/>
  <c r="L21" i="12" s="1"/>
  <c r="B21" i="12"/>
  <c r="X20" i="12"/>
  <c r="Z20" i="12" s="1"/>
  <c r="T20" i="12"/>
  <c r="P20" i="12"/>
  <c r="H20" i="12"/>
  <c r="D20" i="12"/>
  <c r="L20" i="12" s="1"/>
  <c r="B20" i="12"/>
  <c r="Z19" i="12"/>
  <c r="X19" i="12"/>
  <c r="T19" i="12"/>
  <c r="P19" i="12"/>
  <c r="L19" i="12"/>
  <c r="H19" i="12"/>
  <c r="N19" i="12" s="1"/>
  <c r="D19" i="12"/>
  <c r="B19" i="12"/>
  <c r="T18" i="12"/>
  <c r="P18" i="12"/>
  <c r="X18" i="12" s="1"/>
  <c r="Z18" i="12" s="1"/>
  <c r="H18" i="12"/>
  <c r="D18" i="12"/>
  <c r="L18" i="12" s="1"/>
  <c r="N18" i="12" s="1"/>
  <c r="B18" i="12"/>
  <c r="T17" i="12"/>
  <c r="P17" i="12"/>
  <c r="X17" i="12" s="1"/>
  <c r="H17" i="12"/>
  <c r="D17" i="12"/>
  <c r="B17" i="12"/>
  <c r="T16" i="12"/>
  <c r="P16" i="12"/>
  <c r="X16" i="12" s="1"/>
  <c r="L16" i="12"/>
  <c r="N16" i="12" s="1"/>
  <c r="H16" i="12"/>
  <c r="D16" i="12"/>
  <c r="B16" i="12"/>
  <c r="X15" i="12"/>
  <c r="T15" i="12"/>
  <c r="Z15" i="12" s="1"/>
  <c r="P15" i="12"/>
  <c r="N15" i="12"/>
  <c r="L15" i="12"/>
  <c r="H15" i="12"/>
  <c r="D15" i="12"/>
  <c r="B15" i="12"/>
  <c r="T14" i="12"/>
  <c r="P14" i="12"/>
  <c r="X14" i="12" s="1"/>
  <c r="Z14" i="12" s="1"/>
  <c r="H14" i="12"/>
  <c r="D14" i="12"/>
  <c r="L14" i="12" s="1"/>
  <c r="N14" i="12" s="1"/>
  <c r="B14" i="12"/>
  <c r="T13" i="12"/>
  <c r="P13" i="12"/>
  <c r="H13" i="12"/>
  <c r="D13" i="12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Z12" i="11" s="1"/>
  <c r="P12" i="11"/>
  <c r="H12" i="11"/>
  <c r="J20" i="11" s="1"/>
  <c r="D12" i="1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4" i="10" s="1"/>
  <c r="P12" i="10"/>
  <c r="R20" i="10" s="1"/>
  <c r="H12" i="10"/>
  <c r="J20" i="10" s="1"/>
  <c r="D12" i="10"/>
  <c r="F22" i="10" s="1"/>
  <c r="D5" i="10"/>
  <c r="D4" i="10"/>
  <c r="V81" i="9"/>
  <c r="Z79" i="9"/>
  <c r="X79" i="9"/>
  <c r="N79" i="9"/>
  <c r="L79" i="9"/>
  <c r="J79" i="9"/>
  <c r="Z75" i="9"/>
  <c r="X75" i="9"/>
  <c r="T75" i="9"/>
  <c r="P75" i="9"/>
  <c r="L75" i="9"/>
  <c r="H75" i="9"/>
  <c r="N75" i="9" s="1"/>
  <c r="D75" i="9"/>
  <c r="X73" i="9"/>
  <c r="Z73" i="9" s="1"/>
  <c r="L73" i="9"/>
  <c r="N73" i="9" s="1"/>
  <c r="J73" i="9"/>
  <c r="B73" i="9"/>
  <c r="T72" i="9"/>
  <c r="P72" i="9"/>
  <c r="X72" i="9" s="1"/>
  <c r="H72" i="9"/>
  <c r="D72" i="9"/>
  <c r="L72" i="9" s="1"/>
  <c r="N72" i="9" s="1"/>
  <c r="B72" i="9"/>
  <c r="Z71" i="9"/>
  <c r="X71" i="9"/>
  <c r="L71" i="9"/>
  <c r="N71" i="9" s="1"/>
  <c r="B71" i="9"/>
  <c r="Z70" i="9"/>
  <c r="X70" i="9"/>
  <c r="N70" i="9"/>
  <c r="L70" i="9"/>
  <c r="B70" i="9"/>
  <c r="T69" i="9"/>
  <c r="P69" i="9"/>
  <c r="X69" i="9" s="1"/>
  <c r="N69" i="9"/>
  <c r="H69" i="9"/>
  <c r="D69" i="9"/>
  <c r="L69" i="9" s="1"/>
  <c r="B69" i="9"/>
  <c r="Z68" i="9"/>
  <c r="X68" i="9"/>
  <c r="N68" i="9"/>
  <c r="L68" i="9"/>
  <c r="J68" i="9"/>
  <c r="B68" i="9"/>
  <c r="Z67" i="9"/>
  <c r="X67" i="9"/>
  <c r="L67" i="9"/>
  <c r="N67" i="9" s="1"/>
  <c r="B67" i="9"/>
  <c r="Z66" i="9"/>
  <c r="X66" i="9"/>
  <c r="N66" i="9"/>
  <c r="L66" i="9"/>
  <c r="B66" i="9"/>
  <c r="Z65" i="9"/>
  <c r="X65" i="9"/>
  <c r="R65" i="9"/>
  <c r="L65" i="9"/>
  <c r="N65" i="9" s="1"/>
  <c r="B65" i="9"/>
  <c r="T64" i="9"/>
  <c r="P64" i="9"/>
  <c r="X64" i="9" s="1"/>
  <c r="H64" i="9"/>
  <c r="D64" i="9"/>
  <c r="L64" i="9" s="1"/>
  <c r="N64" i="9" s="1"/>
  <c r="B64" i="9"/>
  <c r="Z63" i="9"/>
  <c r="X63" i="9"/>
  <c r="N63" i="9"/>
  <c r="L63" i="9"/>
  <c r="F63" i="9"/>
  <c r="B63" i="9"/>
  <c r="Z62" i="9"/>
  <c r="T62" i="9"/>
  <c r="P62" i="9"/>
  <c r="X62" i="9" s="1"/>
  <c r="N62" i="9"/>
  <c r="L62" i="9"/>
  <c r="H62" i="9"/>
  <c r="D62" i="9"/>
  <c r="B62" i="9"/>
  <c r="X61" i="9"/>
  <c r="Z61" i="9" s="1"/>
  <c r="N61" i="9"/>
  <c r="L61" i="9"/>
  <c r="B61" i="9"/>
  <c r="Z60" i="9"/>
  <c r="X60" i="9"/>
  <c r="T60" i="9"/>
  <c r="P60" i="9"/>
  <c r="H60" i="9"/>
  <c r="L60" i="9" s="1"/>
  <c r="D60" i="9"/>
  <c r="B60" i="9"/>
  <c r="X59" i="9"/>
  <c r="Z59" i="9" s="1"/>
  <c r="N59" i="9"/>
  <c r="L59" i="9"/>
  <c r="B59" i="9"/>
  <c r="Z58" i="9"/>
  <c r="X58" i="9"/>
  <c r="N58" i="9"/>
  <c r="L58" i="9"/>
  <c r="B58" i="9"/>
  <c r="X57" i="9"/>
  <c r="Z57" i="9" s="1"/>
  <c r="N57" i="9"/>
  <c r="L57" i="9"/>
  <c r="B57" i="9"/>
  <c r="X56" i="9"/>
  <c r="Z56" i="9" s="1"/>
  <c r="T56" i="9"/>
  <c r="P56" i="9"/>
  <c r="N56" i="9"/>
  <c r="H56" i="9"/>
  <c r="L56" i="9" s="1"/>
  <c r="D56" i="9"/>
  <c r="B56" i="9"/>
  <c r="X55" i="9"/>
  <c r="Z55" i="9" s="1"/>
  <c r="N55" i="9"/>
  <c r="L55" i="9"/>
  <c r="B55" i="9"/>
  <c r="Z54" i="9"/>
  <c r="X54" i="9"/>
  <c r="N54" i="9"/>
  <c r="L54" i="9"/>
  <c r="B54" i="9"/>
  <c r="X53" i="9"/>
  <c r="Z53" i="9" s="1"/>
  <c r="T53" i="9"/>
  <c r="P53" i="9"/>
  <c r="L53" i="9"/>
  <c r="H53" i="9"/>
  <c r="D53" i="9"/>
  <c r="B53" i="9"/>
  <c r="X52" i="9"/>
  <c r="Z52" i="9" s="1"/>
  <c r="L52" i="9"/>
  <c r="N52" i="9" s="1"/>
  <c r="B52" i="9"/>
  <c r="T51" i="9"/>
  <c r="P51" i="9"/>
  <c r="H51" i="9"/>
  <c r="D51" i="9"/>
  <c r="L51" i="9" s="1"/>
  <c r="B51" i="9"/>
  <c r="Z50" i="9"/>
  <c r="X50" i="9"/>
  <c r="N50" i="9"/>
  <c r="L50" i="9"/>
  <c r="B50" i="9"/>
  <c r="T49" i="9"/>
  <c r="Z49" i="9" s="1"/>
  <c r="P49" i="9"/>
  <c r="N49" i="9"/>
  <c r="H49" i="9"/>
  <c r="D49" i="9"/>
  <c r="L49" i="9" s="1"/>
  <c r="B49" i="9"/>
  <c r="X48" i="9"/>
  <c r="Z48" i="9" s="1"/>
  <c r="L48" i="9"/>
  <c r="N48" i="9" s="1"/>
  <c r="B48" i="9"/>
  <c r="Z47" i="9"/>
  <c r="T47" i="9"/>
  <c r="P47" i="9"/>
  <c r="X47" i="9" s="1"/>
  <c r="L47" i="9"/>
  <c r="N47" i="9" s="1"/>
  <c r="H47" i="9"/>
  <c r="D47" i="9"/>
  <c r="B47" i="9"/>
  <c r="Z46" i="9"/>
  <c r="X46" i="9"/>
  <c r="N46" i="9"/>
  <c r="L46" i="9"/>
  <c r="B46" i="9"/>
  <c r="Z45" i="9"/>
  <c r="X45" i="9"/>
  <c r="T45" i="9"/>
  <c r="P45" i="9"/>
  <c r="H45" i="9"/>
  <c r="F45" i="9"/>
  <c r="D45" i="9"/>
  <c r="B45" i="9"/>
  <c r="X44" i="9"/>
  <c r="Z44" i="9" s="1"/>
  <c r="L44" i="9"/>
  <c r="N44" i="9" s="1"/>
  <c r="B44" i="9"/>
  <c r="X43" i="9"/>
  <c r="T43" i="9"/>
  <c r="P43" i="9"/>
  <c r="H43" i="9"/>
  <c r="D43" i="9"/>
  <c r="L43" i="9" s="1"/>
  <c r="B43" i="9"/>
  <c r="Z42" i="9"/>
  <c r="X42" i="9"/>
  <c r="L42" i="9"/>
  <c r="N42" i="9" s="1"/>
  <c r="B42" i="9"/>
  <c r="T41" i="9"/>
  <c r="P41" i="9"/>
  <c r="H41" i="9"/>
  <c r="D41" i="9"/>
  <c r="L41" i="9" s="1"/>
  <c r="N41" i="9" s="1"/>
  <c r="B41" i="9"/>
  <c r="Z40" i="9"/>
  <c r="X40" i="9"/>
  <c r="N40" i="9"/>
  <c r="L40" i="9"/>
  <c r="B40" i="9"/>
  <c r="T39" i="9"/>
  <c r="P39" i="9"/>
  <c r="X39" i="9" s="1"/>
  <c r="Z39" i="9" s="1"/>
  <c r="N39" i="9"/>
  <c r="L39" i="9"/>
  <c r="H39" i="9"/>
  <c r="D39" i="9"/>
  <c r="B39" i="9"/>
  <c r="Z38" i="9"/>
  <c r="X38" i="9"/>
  <c r="N38" i="9"/>
  <c r="L38" i="9"/>
  <c r="B38" i="9"/>
  <c r="X37" i="9"/>
  <c r="Z37" i="9" s="1"/>
  <c r="T37" i="9"/>
  <c r="P37" i="9"/>
  <c r="H37" i="9"/>
  <c r="D37" i="9"/>
  <c r="B37" i="9"/>
  <c r="Z36" i="9"/>
  <c r="X36" i="9"/>
  <c r="L36" i="9"/>
  <c r="N36" i="9" s="1"/>
  <c r="B36" i="9"/>
  <c r="X35" i="9"/>
  <c r="Z35" i="9" s="1"/>
  <c r="N35" i="9"/>
  <c r="L35" i="9"/>
  <c r="B35" i="9"/>
  <c r="X34" i="9"/>
  <c r="Z34" i="9" s="1"/>
  <c r="N34" i="9"/>
  <c r="L34" i="9"/>
  <c r="B34" i="9"/>
  <c r="X33" i="9"/>
  <c r="Z33" i="9" s="1"/>
  <c r="V33" i="9"/>
  <c r="L33" i="9"/>
  <c r="N33" i="9" s="1"/>
  <c r="B33" i="9"/>
  <c r="X32" i="9"/>
  <c r="Z32" i="9" s="1"/>
  <c r="N32" i="9"/>
  <c r="L32" i="9"/>
  <c r="J32" i="9"/>
  <c r="B32" i="9"/>
  <c r="Z31" i="9"/>
  <c r="X31" i="9"/>
  <c r="L31" i="9"/>
  <c r="N31" i="9" s="1"/>
  <c r="B31" i="9"/>
  <c r="T30" i="9"/>
  <c r="P30" i="9"/>
  <c r="X30" i="9" s="1"/>
  <c r="Z30" i="9" s="1"/>
  <c r="L30" i="9"/>
  <c r="N30" i="9" s="1"/>
  <c r="H30" i="9"/>
  <c r="D30" i="9"/>
  <c r="B30" i="9"/>
  <c r="Z29" i="9"/>
  <c r="X29" i="9"/>
  <c r="L29" i="9"/>
  <c r="N29" i="9" s="1"/>
  <c r="B29" i="9"/>
  <c r="X28" i="9"/>
  <c r="Z28" i="9" s="1"/>
  <c r="L28" i="9"/>
  <c r="N28" i="9" s="1"/>
  <c r="B28" i="9"/>
  <c r="Z27" i="9"/>
  <c r="X27" i="9"/>
  <c r="L27" i="9"/>
  <c r="N27" i="9" s="1"/>
  <c r="J27" i="9"/>
  <c r="B27" i="9"/>
  <c r="Z26" i="9"/>
  <c r="X26" i="9"/>
  <c r="L26" i="9"/>
  <c r="N26" i="9" s="1"/>
  <c r="F26" i="9"/>
  <c r="B26" i="9"/>
  <c r="X25" i="9"/>
  <c r="Z25" i="9" s="1"/>
  <c r="L25" i="9"/>
  <c r="N25" i="9" s="1"/>
  <c r="B25" i="9"/>
  <c r="X24" i="9"/>
  <c r="Z24" i="9" s="1"/>
  <c r="N24" i="9"/>
  <c r="L24" i="9"/>
  <c r="B24" i="9"/>
  <c r="X23" i="9"/>
  <c r="Z23" i="9" s="1"/>
  <c r="R23" i="9"/>
  <c r="N23" i="9"/>
  <c r="L23" i="9"/>
  <c r="B23" i="9"/>
  <c r="X22" i="9"/>
  <c r="Z22" i="9" s="1"/>
  <c r="N22" i="9"/>
  <c r="L22" i="9"/>
  <c r="B22" i="9"/>
  <c r="X21" i="9"/>
  <c r="Z21" i="9" s="1"/>
  <c r="L21" i="9"/>
  <c r="N21" i="9" s="1"/>
  <c r="J21" i="9"/>
  <c r="B21" i="9"/>
  <c r="X20" i="9"/>
  <c r="Z20" i="9" s="1"/>
  <c r="L20" i="9"/>
  <c r="N20" i="9" s="1"/>
  <c r="F20" i="9"/>
  <c r="B20" i="9"/>
  <c r="T19" i="9"/>
  <c r="P19" i="9"/>
  <c r="X19" i="9" s="1"/>
  <c r="N19" i="9"/>
  <c r="L19" i="9"/>
  <c r="H19" i="9"/>
  <c r="D19" i="9"/>
  <c r="B19" i="9"/>
  <c r="X18" i="9"/>
  <c r="Z18" i="9" s="1"/>
  <c r="V18" i="9"/>
  <c r="T18" i="9"/>
  <c r="P18" i="9"/>
  <c r="H18" i="9"/>
  <c r="N18" i="9" s="1"/>
  <c r="D18" i="9"/>
  <c r="L18" i="9" s="1"/>
  <c r="R16" i="9"/>
  <c r="P16" i="9"/>
  <c r="P77" i="9" s="1"/>
  <c r="X14" i="9"/>
  <c r="V14" i="9"/>
  <c r="T14" i="9"/>
  <c r="T16" i="9" s="1"/>
  <c r="P14" i="9"/>
  <c r="H14" i="9"/>
  <c r="N14" i="9" s="1"/>
  <c r="D14" i="9"/>
  <c r="L14" i="9" s="1"/>
  <c r="T12" i="9"/>
  <c r="V75" i="9" s="1"/>
  <c r="P12" i="9"/>
  <c r="R22" i="9" s="1"/>
  <c r="L12" i="9"/>
  <c r="H12" i="9"/>
  <c r="J65" i="9" s="1"/>
  <c r="D12" i="9"/>
  <c r="F75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2" i="8" s="1"/>
  <c r="P12" i="8"/>
  <c r="R36" i="8" s="1"/>
  <c r="H12" i="8"/>
  <c r="J20" i="8" s="1"/>
  <c r="D12" i="8"/>
  <c r="F22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6" i="7" s="1"/>
  <c r="P12" i="7"/>
  <c r="R21" i="7" s="1"/>
  <c r="H12" i="7"/>
  <c r="N12" i="7" s="1"/>
  <c r="D12" i="7"/>
  <c r="F36" i="7" s="1"/>
  <c r="D5" i="7"/>
  <c r="D4" i="7"/>
  <c r="V31" i="6"/>
  <c r="F31" i="6"/>
  <c r="T29" i="6"/>
  <c r="P29" i="6"/>
  <c r="X29" i="6" s="1"/>
  <c r="Z29" i="6" s="1"/>
  <c r="H29" i="6"/>
  <c r="D29" i="6"/>
  <c r="L29" i="6" s="1"/>
  <c r="N29" i="6" s="1"/>
  <c r="V28" i="6"/>
  <c r="T28" i="6"/>
  <c r="P28" i="6"/>
  <c r="L28" i="6"/>
  <c r="H28" i="6"/>
  <c r="N28" i="6" s="1"/>
  <c r="F28" i="6"/>
  <c r="D28" i="6"/>
  <c r="Z24" i="6"/>
  <c r="X24" i="6"/>
  <c r="V24" i="6"/>
  <c r="N24" i="6"/>
  <c r="L24" i="6"/>
  <c r="V22" i="6"/>
  <c r="F22" i="6"/>
  <c r="Z20" i="6"/>
  <c r="T20" i="6"/>
  <c r="P20" i="6"/>
  <c r="X20" i="6" s="1"/>
  <c r="N20" i="6"/>
  <c r="H20" i="6"/>
  <c r="D20" i="6"/>
  <c r="L20" i="6" s="1"/>
  <c r="V18" i="6"/>
  <c r="T18" i="6"/>
  <c r="Z18" i="6" s="1"/>
  <c r="R18" i="6"/>
  <c r="P18" i="6"/>
  <c r="L18" i="6"/>
  <c r="H18" i="6"/>
  <c r="N18" i="6" s="1"/>
  <c r="F18" i="6"/>
  <c r="D18" i="6"/>
  <c r="Z16" i="6"/>
  <c r="T16" i="6"/>
  <c r="T22" i="6" s="1"/>
  <c r="D16" i="6"/>
  <c r="D22" i="6" s="1"/>
  <c r="V14" i="6"/>
  <c r="T14" i="6"/>
  <c r="Z14" i="6" s="1"/>
  <c r="R14" i="6"/>
  <c r="P14" i="6"/>
  <c r="L14" i="6"/>
  <c r="H14" i="6"/>
  <c r="N14" i="6" s="1"/>
  <c r="F14" i="6"/>
  <c r="D14" i="6"/>
  <c r="Z12" i="6"/>
  <c r="T12" i="6"/>
  <c r="V29" i="6" s="1"/>
  <c r="P12" i="6"/>
  <c r="R24" i="6" s="1"/>
  <c r="H12" i="6"/>
  <c r="J29" i="6" s="1"/>
  <c r="D12" i="6"/>
  <c r="F29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4" i="5" s="1"/>
  <c r="P12" i="5"/>
  <c r="R36" i="5" s="1"/>
  <c r="H12" i="5"/>
  <c r="J34" i="5" s="1"/>
  <c r="D12" i="5"/>
  <c r="F34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2" i="4" s="1"/>
  <c r="P12" i="4"/>
  <c r="R18" i="4" s="1"/>
  <c r="H12" i="4"/>
  <c r="J20" i="4" s="1"/>
  <c r="D12" i="4"/>
  <c r="F22" i="4" s="1"/>
  <c r="D5" i="4"/>
  <c r="D4" i="4"/>
  <c r="X228" i="3"/>
  <c r="Z228" i="3" s="1"/>
  <c r="T228" i="3"/>
  <c r="P228" i="3"/>
  <c r="L228" i="3"/>
  <c r="H228" i="3"/>
  <c r="N228" i="3" s="1"/>
  <c r="D228" i="3"/>
  <c r="T227" i="3"/>
  <c r="Z227" i="3" s="1"/>
  <c r="P227" i="3"/>
  <c r="X227" i="3" s="1"/>
  <c r="H227" i="3"/>
  <c r="N227" i="3" s="1"/>
  <c r="D227" i="3"/>
  <c r="L227" i="3" s="1"/>
  <c r="X223" i="3"/>
  <c r="Z223" i="3" s="1"/>
  <c r="L223" i="3"/>
  <c r="N223" i="3" s="1"/>
  <c r="X219" i="3"/>
  <c r="Z219" i="3" s="1"/>
  <c r="T219" i="3"/>
  <c r="P219" i="3"/>
  <c r="L219" i="3"/>
  <c r="H219" i="3"/>
  <c r="N219" i="3" s="1"/>
  <c r="D219" i="3"/>
  <c r="B219" i="3"/>
  <c r="T218" i="3"/>
  <c r="Z218" i="3" s="1"/>
  <c r="P218" i="3"/>
  <c r="X218" i="3" s="1"/>
  <c r="H218" i="3"/>
  <c r="D218" i="3"/>
  <c r="L218" i="3" s="1"/>
  <c r="N218" i="3" s="1"/>
  <c r="B218" i="3"/>
  <c r="T217" i="3"/>
  <c r="Z217" i="3" s="1"/>
  <c r="P217" i="3"/>
  <c r="X217" i="3" s="1"/>
  <c r="L217" i="3"/>
  <c r="N217" i="3" s="1"/>
  <c r="H217" i="3"/>
  <c r="D217" i="3"/>
  <c r="B217" i="3"/>
  <c r="T216" i="3"/>
  <c r="P216" i="3"/>
  <c r="X216" i="3" s="1"/>
  <c r="Z216" i="3" s="1"/>
  <c r="H216" i="3"/>
  <c r="D216" i="3"/>
  <c r="B216" i="3"/>
  <c r="T215" i="3"/>
  <c r="P215" i="3"/>
  <c r="P212" i="3" s="1"/>
  <c r="H215" i="3"/>
  <c r="D215" i="3"/>
  <c r="L215" i="3" s="1"/>
  <c r="B215" i="3"/>
  <c r="Z214" i="3"/>
  <c r="T214" i="3"/>
  <c r="P214" i="3"/>
  <c r="X214" i="3" s="1"/>
  <c r="N214" i="3"/>
  <c r="L214" i="3"/>
  <c r="H214" i="3"/>
  <c r="D214" i="3"/>
  <c r="B214" i="3"/>
  <c r="X213" i="3"/>
  <c r="T213" i="3"/>
  <c r="Z213" i="3" s="1"/>
  <c r="P213" i="3"/>
  <c r="H213" i="3"/>
  <c r="N213" i="3" s="1"/>
  <c r="D213" i="3"/>
  <c r="L213" i="3" s="1"/>
  <c r="B213" i="3"/>
  <c r="Z210" i="3"/>
  <c r="X210" i="3"/>
  <c r="L210" i="3"/>
  <c r="N210" i="3" s="1"/>
  <c r="B210" i="3"/>
  <c r="X209" i="3"/>
  <c r="Z209" i="3" s="1"/>
  <c r="T209" i="3"/>
  <c r="P209" i="3"/>
  <c r="L209" i="3"/>
  <c r="H209" i="3"/>
  <c r="N209" i="3" s="1"/>
  <c r="D209" i="3"/>
  <c r="B209" i="3"/>
  <c r="Z208" i="3"/>
  <c r="X208" i="3"/>
  <c r="N208" i="3"/>
  <c r="L208" i="3"/>
  <c r="B208" i="3"/>
  <c r="X207" i="3"/>
  <c r="Z207" i="3" s="1"/>
  <c r="L207" i="3"/>
  <c r="N207" i="3" s="1"/>
  <c r="B207" i="3"/>
  <c r="Z206" i="3"/>
  <c r="X206" i="3"/>
  <c r="L206" i="3"/>
  <c r="N206" i="3" s="1"/>
  <c r="B206" i="3"/>
  <c r="X205" i="3"/>
  <c r="T205" i="3"/>
  <c r="Z205" i="3" s="1"/>
  <c r="P205" i="3"/>
  <c r="L205" i="3"/>
  <c r="H205" i="3"/>
  <c r="N205" i="3" s="1"/>
  <c r="D205" i="3"/>
  <c r="B205" i="3"/>
  <c r="Z204" i="3"/>
  <c r="X204" i="3"/>
  <c r="N204" i="3"/>
  <c r="L204" i="3"/>
  <c r="B204" i="3"/>
  <c r="X203" i="3"/>
  <c r="T203" i="3"/>
  <c r="Z203" i="3" s="1"/>
  <c r="P203" i="3"/>
  <c r="H203" i="3"/>
  <c r="N203" i="3" s="1"/>
  <c r="D203" i="3"/>
  <c r="L203" i="3" s="1"/>
  <c r="B203" i="3"/>
  <c r="X202" i="3"/>
  <c r="Z202" i="3" s="1"/>
  <c r="N202" i="3"/>
  <c r="L202" i="3"/>
  <c r="B202" i="3"/>
  <c r="Z201" i="3"/>
  <c r="X201" i="3"/>
  <c r="L201" i="3"/>
  <c r="N201" i="3" s="1"/>
  <c r="B201" i="3"/>
  <c r="T200" i="3"/>
  <c r="X200" i="3" s="1"/>
  <c r="Z200" i="3" s="1"/>
  <c r="P200" i="3"/>
  <c r="L200" i="3"/>
  <c r="N200" i="3" s="1"/>
  <c r="H200" i="3"/>
  <c r="D200" i="3"/>
  <c r="B200" i="3"/>
  <c r="X199" i="3"/>
  <c r="Z199" i="3" s="1"/>
  <c r="L199" i="3"/>
  <c r="N199" i="3" s="1"/>
  <c r="B199" i="3"/>
  <c r="X198" i="3"/>
  <c r="Z198" i="3" s="1"/>
  <c r="N198" i="3"/>
  <c r="L198" i="3"/>
  <c r="B198" i="3"/>
  <c r="Z197" i="3"/>
  <c r="X197" i="3"/>
  <c r="L197" i="3"/>
  <c r="N197" i="3" s="1"/>
  <c r="B197" i="3"/>
  <c r="Z196" i="3"/>
  <c r="X196" i="3"/>
  <c r="N196" i="3"/>
  <c r="L196" i="3"/>
  <c r="B196" i="3"/>
  <c r="X195" i="3"/>
  <c r="Z195" i="3" s="1"/>
  <c r="L195" i="3"/>
  <c r="N195" i="3" s="1"/>
  <c r="B195" i="3"/>
  <c r="Z194" i="3"/>
  <c r="X194" i="3"/>
  <c r="L194" i="3"/>
  <c r="N194" i="3" s="1"/>
  <c r="B194" i="3"/>
  <c r="X193" i="3"/>
  <c r="Z193" i="3" s="1"/>
  <c r="N193" i="3"/>
  <c r="L193" i="3"/>
  <c r="B193" i="3"/>
  <c r="T192" i="3"/>
  <c r="Z192" i="3" s="1"/>
  <c r="P192" i="3"/>
  <c r="X192" i="3" s="1"/>
  <c r="H192" i="3"/>
  <c r="D192" i="3"/>
  <c r="L192" i="3" s="1"/>
  <c r="N192" i="3" s="1"/>
  <c r="B192" i="3"/>
  <c r="X191" i="3"/>
  <c r="Z191" i="3" s="1"/>
  <c r="L191" i="3"/>
  <c r="N191" i="3" s="1"/>
  <c r="B191" i="3"/>
  <c r="Z190" i="3"/>
  <c r="X190" i="3"/>
  <c r="L190" i="3"/>
  <c r="N190" i="3" s="1"/>
  <c r="B190" i="3"/>
  <c r="X189" i="3"/>
  <c r="T189" i="3"/>
  <c r="Z189" i="3" s="1"/>
  <c r="P189" i="3"/>
  <c r="L189" i="3"/>
  <c r="H189" i="3"/>
  <c r="N189" i="3" s="1"/>
  <c r="D189" i="3"/>
  <c r="B189" i="3"/>
  <c r="X188" i="3"/>
  <c r="Z188" i="3" s="1"/>
  <c r="N188" i="3"/>
  <c r="L188" i="3"/>
  <c r="B188" i="3"/>
  <c r="X187" i="3"/>
  <c r="Z187" i="3" s="1"/>
  <c r="L187" i="3"/>
  <c r="N187" i="3" s="1"/>
  <c r="B187" i="3"/>
  <c r="Z186" i="3"/>
  <c r="X186" i="3"/>
  <c r="L186" i="3"/>
  <c r="N186" i="3" s="1"/>
  <c r="B186" i="3"/>
  <c r="X185" i="3"/>
  <c r="Z185" i="3" s="1"/>
  <c r="N185" i="3"/>
  <c r="L185" i="3"/>
  <c r="B185" i="3"/>
  <c r="Z184" i="3"/>
  <c r="X184" i="3"/>
  <c r="L184" i="3"/>
  <c r="N184" i="3" s="1"/>
  <c r="B184" i="3"/>
  <c r="T183" i="3"/>
  <c r="Z183" i="3" s="1"/>
  <c r="P183" i="3"/>
  <c r="X183" i="3" s="1"/>
  <c r="L183" i="3"/>
  <c r="H183" i="3"/>
  <c r="N183" i="3" s="1"/>
  <c r="D183" i="3"/>
  <c r="B183" i="3"/>
  <c r="Z182" i="3"/>
  <c r="X182" i="3"/>
  <c r="L182" i="3"/>
  <c r="N182" i="3" s="1"/>
  <c r="B182" i="3"/>
  <c r="Z181" i="3"/>
  <c r="X181" i="3"/>
  <c r="N181" i="3"/>
  <c r="L181" i="3"/>
  <c r="B181" i="3"/>
  <c r="Z180" i="3"/>
  <c r="X180" i="3"/>
  <c r="L180" i="3"/>
  <c r="N180" i="3" s="1"/>
  <c r="B180" i="3"/>
  <c r="T179" i="3"/>
  <c r="P179" i="3"/>
  <c r="X179" i="3" s="1"/>
  <c r="L179" i="3"/>
  <c r="H179" i="3"/>
  <c r="N179" i="3" s="1"/>
  <c r="D179" i="3"/>
  <c r="B179" i="3"/>
  <c r="Z178" i="3"/>
  <c r="X178" i="3"/>
  <c r="L178" i="3"/>
  <c r="N178" i="3" s="1"/>
  <c r="B178" i="3"/>
  <c r="X177" i="3"/>
  <c r="Z177" i="3" s="1"/>
  <c r="N177" i="3"/>
  <c r="L177" i="3"/>
  <c r="B177" i="3"/>
  <c r="Z176" i="3"/>
  <c r="X176" i="3"/>
  <c r="N176" i="3"/>
  <c r="L176" i="3"/>
  <c r="B176" i="3"/>
  <c r="T175" i="3"/>
  <c r="Z175" i="3" s="1"/>
  <c r="P175" i="3"/>
  <c r="X175" i="3" s="1"/>
  <c r="L175" i="3"/>
  <c r="N175" i="3" s="1"/>
  <c r="H175" i="3"/>
  <c r="D175" i="3"/>
  <c r="B175" i="3"/>
  <c r="Z174" i="3"/>
  <c r="X174" i="3"/>
  <c r="L174" i="3"/>
  <c r="N174" i="3" s="1"/>
  <c r="B174" i="3"/>
  <c r="X173" i="3"/>
  <c r="Z173" i="3" s="1"/>
  <c r="T173" i="3"/>
  <c r="P173" i="3"/>
  <c r="L173" i="3"/>
  <c r="H173" i="3"/>
  <c r="N173" i="3" s="1"/>
  <c r="D173" i="3"/>
  <c r="B173" i="3"/>
  <c r="Z172" i="3"/>
  <c r="X172" i="3"/>
  <c r="N172" i="3"/>
  <c r="L172" i="3"/>
  <c r="B172" i="3"/>
  <c r="X171" i="3"/>
  <c r="T171" i="3"/>
  <c r="Z171" i="3" s="1"/>
  <c r="P171" i="3"/>
  <c r="H171" i="3"/>
  <c r="D171" i="3"/>
  <c r="L171" i="3" s="1"/>
  <c r="B171" i="3"/>
  <c r="Z170" i="3"/>
  <c r="X170" i="3"/>
  <c r="N170" i="3"/>
  <c r="L170" i="3"/>
  <c r="B170" i="3"/>
  <c r="Z169" i="3"/>
  <c r="X169" i="3"/>
  <c r="L169" i="3"/>
  <c r="N169" i="3" s="1"/>
  <c r="B169" i="3"/>
  <c r="T168" i="3"/>
  <c r="X168" i="3" s="1"/>
  <c r="Z168" i="3" s="1"/>
  <c r="P168" i="3"/>
  <c r="L168" i="3"/>
  <c r="N168" i="3" s="1"/>
  <c r="H168" i="3"/>
  <c r="D168" i="3"/>
  <c r="B168" i="3"/>
  <c r="X167" i="3"/>
  <c r="Z167" i="3" s="1"/>
  <c r="L167" i="3"/>
  <c r="N167" i="3" s="1"/>
  <c r="B167" i="3"/>
  <c r="X166" i="3"/>
  <c r="Z166" i="3" s="1"/>
  <c r="T166" i="3"/>
  <c r="P166" i="3"/>
  <c r="H166" i="3"/>
  <c r="D166" i="3"/>
  <c r="L166" i="3" s="1"/>
  <c r="B166" i="3"/>
  <c r="X165" i="3"/>
  <c r="Z165" i="3" s="1"/>
  <c r="N165" i="3"/>
  <c r="L165" i="3"/>
  <c r="B165" i="3"/>
  <c r="T164" i="3"/>
  <c r="P164" i="3"/>
  <c r="X164" i="3" s="1"/>
  <c r="H164" i="3"/>
  <c r="D164" i="3"/>
  <c r="L164" i="3" s="1"/>
  <c r="N164" i="3" s="1"/>
  <c r="B164" i="3"/>
  <c r="X163" i="3"/>
  <c r="Z163" i="3" s="1"/>
  <c r="L163" i="3"/>
  <c r="N163" i="3" s="1"/>
  <c r="B163" i="3"/>
  <c r="T162" i="3"/>
  <c r="P162" i="3"/>
  <c r="X162" i="3" s="1"/>
  <c r="Z162" i="3" s="1"/>
  <c r="L162" i="3"/>
  <c r="N162" i="3" s="1"/>
  <c r="H162" i="3"/>
  <c r="D162" i="3"/>
  <c r="B162" i="3"/>
  <c r="Z161" i="3"/>
  <c r="X161" i="3"/>
  <c r="L161" i="3"/>
  <c r="N161" i="3" s="1"/>
  <c r="B161" i="3"/>
  <c r="X160" i="3"/>
  <c r="Z160" i="3" s="1"/>
  <c r="N160" i="3"/>
  <c r="L160" i="3"/>
  <c r="B160" i="3"/>
  <c r="X159" i="3"/>
  <c r="T159" i="3"/>
  <c r="Z159" i="3" s="1"/>
  <c r="P159" i="3"/>
  <c r="H159" i="3"/>
  <c r="D159" i="3"/>
  <c r="L159" i="3" s="1"/>
  <c r="B159" i="3"/>
  <c r="X158" i="3"/>
  <c r="Z158" i="3" s="1"/>
  <c r="N158" i="3"/>
  <c r="L158" i="3"/>
  <c r="B158" i="3"/>
  <c r="T157" i="3"/>
  <c r="P157" i="3"/>
  <c r="X157" i="3" s="1"/>
  <c r="H157" i="3"/>
  <c r="N157" i="3" s="1"/>
  <c r="D157" i="3"/>
  <c r="L157" i="3" s="1"/>
  <c r="B157" i="3"/>
  <c r="Z156" i="3"/>
  <c r="X156" i="3"/>
  <c r="N156" i="3"/>
  <c r="L156" i="3"/>
  <c r="B156" i="3"/>
  <c r="T155" i="3"/>
  <c r="Z155" i="3" s="1"/>
  <c r="P155" i="3"/>
  <c r="X155" i="3" s="1"/>
  <c r="H155" i="3"/>
  <c r="N155" i="3" s="1"/>
  <c r="D155" i="3"/>
  <c r="L155" i="3" s="1"/>
  <c r="B155" i="3"/>
  <c r="Z154" i="3"/>
  <c r="X154" i="3"/>
  <c r="N154" i="3"/>
  <c r="L154" i="3"/>
  <c r="B154" i="3"/>
  <c r="Z153" i="3"/>
  <c r="X153" i="3"/>
  <c r="N153" i="3"/>
  <c r="L153" i="3"/>
  <c r="B153" i="3"/>
  <c r="T152" i="3"/>
  <c r="Z152" i="3" s="1"/>
  <c r="P152" i="3"/>
  <c r="X152" i="3" s="1"/>
  <c r="N152" i="3"/>
  <c r="H152" i="3"/>
  <c r="D152" i="3"/>
  <c r="L152" i="3" s="1"/>
  <c r="B152" i="3"/>
  <c r="X151" i="3"/>
  <c r="Z151" i="3" s="1"/>
  <c r="L151" i="3"/>
  <c r="N151" i="3" s="1"/>
  <c r="B151" i="3"/>
  <c r="Z150" i="3"/>
  <c r="X150" i="3"/>
  <c r="L150" i="3"/>
  <c r="N150" i="3" s="1"/>
  <c r="B150" i="3"/>
  <c r="T149" i="3"/>
  <c r="P149" i="3"/>
  <c r="X149" i="3" s="1"/>
  <c r="L149" i="3"/>
  <c r="H149" i="3"/>
  <c r="N149" i="3" s="1"/>
  <c r="D149" i="3"/>
  <c r="B149" i="3"/>
  <c r="X148" i="3"/>
  <c r="Z148" i="3" s="1"/>
  <c r="N148" i="3"/>
  <c r="L148" i="3"/>
  <c r="B148" i="3"/>
  <c r="X147" i="3"/>
  <c r="T147" i="3"/>
  <c r="Z147" i="3" s="1"/>
  <c r="P147" i="3"/>
  <c r="H147" i="3"/>
  <c r="D147" i="3"/>
  <c r="B147" i="3"/>
  <c r="X146" i="3"/>
  <c r="Z146" i="3" s="1"/>
  <c r="N146" i="3"/>
  <c r="L146" i="3"/>
  <c r="B146" i="3"/>
  <c r="T145" i="3"/>
  <c r="Z145" i="3" s="1"/>
  <c r="P145" i="3"/>
  <c r="X145" i="3" s="1"/>
  <c r="H145" i="3"/>
  <c r="N145" i="3" s="1"/>
  <c r="D145" i="3"/>
  <c r="L145" i="3" s="1"/>
  <c r="B145" i="3"/>
  <c r="Z144" i="3"/>
  <c r="X144" i="3"/>
  <c r="N144" i="3"/>
  <c r="L144" i="3"/>
  <c r="B144" i="3"/>
  <c r="T143" i="3"/>
  <c r="Z143" i="3" s="1"/>
  <c r="P143" i="3"/>
  <c r="X143" i="3" s="1"/>
  <c r="H143" i="3"/>
  <c r="D143" i="3"/>
  <c r="L143" i="3" s="1"/>
  <c r="B143" i="3"/>
  <c r="Z142" i="3"/>
  <c r="X142" i="3"/>
  <c r="N142" i="3"/>
  <c r="L142" i="3"/>
  <c r="B142" i="3"/>
  <c r="X141" i="3"/>
  <c r="Z141" i="3" s="1"/>
  <c r="L141" i="3"/>
  <c r="N141" i="3" s="1"/>
  <c r="B141" i="3"/>
  <c r="Z140" i="3"/>
  <c r="X140" i="3"/>
  <c r="N140" i="3"/>
  <c r="L140" i="3"/>
  <c r="B140" i="3"/>
  <c r="X139" i="3"/>
  <c r="Z139" i="3" s="1"/>
  <c r="L139" i="3"/>
  <c r="N139" i="3" s="1"/>
  <c r="B139" i="3"/>
  <c r="Z138" i="3"/>
  <c r="X138" i="3"/>
  <c r="N138" i="3"/>
  <c r="L138" i="3"/>
  <c r="B138" i="3"/>
  <c r="X137" i="3"/>
  <c r="Z137" i="3" s="1"/>
  <c r="L137" i="3"/>
  <c r="N137" i="3" s="1"/>
  <c r="B137" i="3"/>
  <c r="Z136" i="3"/>
  <c r="X136" i="3"/>
  <c r="N136" i="3"/>
  <c r="L136" i="3"/>
  <c r="B136" i="3"/>
  <c r="X135" i="3"/>
  <c r="T135" i="3"/>
  <c r="Z135" i="3" s="1"/>
  <c r="P135" i="3"/>
  <c r="H135" i="3"/>
  <c r="D135" i="3"/>
  <c r="L135" i="3" s="1"/>
  <c r="B135" i="3"/>
  <c r="Z134" i="3"/>
  <c r="X134" i="3"/>
  <c r="N134" i="3"/>
  <c r="L134" i="3"/>
  <c r="B134" i="3"/>
  <c r="X133" i="3"/>
  <c r="Z133" i="3" s="1"/>
  <c r="L133" i="3"/>
  <c r="N133" i="3" s="1"/>
  <c r="B133" i="3"/>
  <c r="Z132" i="3"/>
  <c r="X132" i="3"/>
  <c r="N132" i="3"/>
  <c r="L132" i="3"/>
  <c r="B132" i="3"/>
  <c r="X131" i="3"/>
  <c r="Z131" i="3" s="1"/>
  <c r="L131" i="3"/>
  <c r="N131" i="3" s="1"/>
  <c r="B131" i="3"/>
  <c r="Z130" i="3"/>
  <c r="X130" i="3"/>
  <c r="N130" i="3"/>
  <c r="L130" i="3"/>
  <c r="B130" i="3"/>
  <c r="X129" i="3"/>
  <c r="Z129" i="3" s="1"/>
  <c r="N129" i="3"/>
  <c r="L129" i="3"/>
  <c r="B129" i="3"/>
  <c r="Z128" i="3"/>
  <c r="X128" i="3"/>
  <c r="N128" i="3"/>
  <c r="L128" i="3"/>
  <c r="B128" i="3"/>
  <c r="X127" i="3"/>
  <c r="Z127" i="3" s="1"/>
  <c r="L127" i="3"/>
  <c r="N127" i="3" s="1"/>
  <c r="B127" i="3"/>
  <c r="Z126" i="3"/>
  <c r="X126" i="3"/>
  <c r="N126" i="3"/>
  <c r="L126" i="3"/>
  <c r="B126" i="3"/>
  <c r="Z125" i="3"/>
  <c r="X125" i="3"/>
  <c r="L125" i="3"/>
  <c r="N125" i="3" s="1"/>
  <c r="B125" i="3"/>
  <c r="Z124" i="3"/>
  <c r="X124" i="3"/>
  <c r="T124" i="3"/>
  <c r="P124" i="3"/>
  <c r="L124" i="3"/>
  <c r="N124" i="3" s="1"/>
  <c r="H124" i="3"/>
  <c r="D124" i="3"/>
  <c r="B124" i="3"/>
  <c r="T123" i="3"/>
  <c r="P123" i="3"/>
  <c r="X123" i="3" s="1"/>
  <c r="H123" i="3"/>
  <c r="D123" i="3"/>
  <c r="L123" i="3" s="1"/>
  <c r="Z119" i="3"/>
  <c r="X119" i="3"/>
  <c r="N119" i="3"/>
  <c r="L119" i="3"/>
  <c r="B119" i="3"/>
  <c r="Z118" i="3"/>
  <c r="X118" i="3"/>
  <c r="N118" i="3"/>
  <c r="L118" i="3"/>
  <c r="B118" i="3"/>
  <c r="X117" i="3"/>
  <c r="Z117" i="3" s="1"/>
  <c r="L117" i="3"/>
  <c r="N117" i="3" s="1"/>
  <c r="B117" i="3"/>
  <c r="Z116" i="3"/>
  <c r="X116" i="3"/>
  <c r="N116" i="3"/>
  <c r="L116" i="3"/>
  <c r="B116" i="3"/>
  <c r="X115" i="3"/>
  <c r="Z115" i="3" s="1"/>
  <c r="L115" i="3"/>
  <c r="N115" i="3" s="1"/>
  <c r="B115" i="3"/>
  <c r="Z114" i="3"/>
  <c r="X114" i="3"/>
  <c r="N114" i="3"/>
  <c r="L114" i="3"/>
  <c r="B114" i="3"/>
  <c r="X113" i="3"/>
  <c r="Z113" i="3" s="1"/>
  <c r="L113" i="3"/>
  <c r="N113" i="3" s="1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N110" i="3"/>
  <c r="L110" i="3"/>
  <c r="B110" i="3"/>
  <c r="X109" i="3"/>
  <c r="Z109" i="3" s="1"/>
  <c r="L109" i="3"/>
  <c r="N109" i="3" s="1"/>
  <c r="B109" i="3"/>
  <c r="Z108" i="3"/>
  <c r="X108" i="3"/>
  <c r="N108" i="3"/>
  <c r="L108" i="3"/>
  <c r="B108" i="3"/>
  <c r="X107" i="3"/>
  <c r="Z107" i="3" s="1"/>
  <c r="L107" i="3"/>
  <c r="N107" i="3" s="1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X103" i="3"/>
  <c r="Z103" i="3" s="1"/>
  <c r="L103" i="3"/>
  <c r="N103" i="3" s="1"/>
  <c r="B103" i="3"/>
  <c r="Z102" i="3"/>
  <c r="X102" i="3"/>
  <c r="N102" i="3"/>
  <c r="L102" i="3"/>
  <c r="B102" i="3"/>
  <c r="X101" i="3"/>
  <c r="Z101" i="3" s="1"/>
  <c r="L101" i="3"/>
  <c r="N101" i="3" s="1"/>
  <c r="B101" i="3"/>
  <c r="Z100" i="3"/>
  <c r="X100" i="3"/>
  <c r="N100" i="3"/>
  <c r="L100" i="3"/>
  <c r="B100" i="3"/>
  <c r="X99" i="3"/>
  <c r="Z99" i="3" s="1"/>
  <c r="L99" i="3"/>
  <c r="N99" i="3" s="1"/>
  <c r="B99" i="3"/>
  <c r="Z98" i="3"/>
  <c r="X98" i="3"/>
  <c r="N98" i="3"/>
  <c r="L98" i="3"/>
  <c r="B98" i="3"/>
  <c r="X97" i="3"/>
  <c r="Z97" i="3" s="1"/>
  <c r="L97" i="3"/>
  <c r="N97" i="3" s="1"/>
  <c r="B97" i="3"/>
  <c r="Z96" i="3"/>
  <c r="X96" i="3"/>
  <c r="N96" i="3"/>
  <c r="L96" i="3"/>
  <c r="B96" i="3"/>
  <c r="X95" i="3"/>
  <c r="Z95" i="3" s="1"/>
  <c r="L95" i="3"/>
  <c r="N95" i="3" s="1"/>
  <c r="B95" i="3"/>
  <c r="Z94" i="3"/>
  <c r="X94" i="3"/>
  <c r="N94" i="3"/>
  <c r="L94" i="3"/>
  <c r="B94" i="3"/>
  <c r="X93" i="3"/>
  <c r="Z93" i="3" s="1"/>
  <c r="L93" i="3"/>
  <c r="N93" i="3" s="1"/>
  <c r="B93" i="3"/>
  <c r="Z92" i="3"/>
  <c r="X92" i="3"/>
  <c r="N92" i="3"/>
  <c r="L92" i="3"/>
  <c r="B92" i="3"/>
  <c r="X91" i="3"/>
  <c r="Z91" i="3" s="1"/>
  <c r="L91" i="3"/>
  <c r="N91" i="3" s="1"/>
  <c r="B91" i="3"/>
  <c r="Z90" i="3"/>
  <c r="X90" i="3"/>
  <c r="N90" i="3"/>
  <c r="L90" i="3"/>
  <c r="B90" i="3"/>
  <c r="X89" i="3"/>
  <c r="Z89" i="3" s="1"/>
  <c r="L89" i="3"/>
  <c r="N89" i="3" s="1"/>
  <c r="B89" i="3"/>
  <c r="Z88" i="3"/>
  <c r="X88" i="3"/>
  <c r="N88" i="3"/>
  <c r="L88" i="3"/>
  <c r="B88" i="3"/>
  <c r="X87" i="3"/>
  <c r="Z87" i="3" s="1"/>
  <c r="L87" i="3"/>
  <c r="N87" i="3" s="1"/>
  <c r="B87" i="3"/>
  <c r="Z86" i="3"/>
  <c r="X86" i="3"/>
  <c r="N86" i="3"/>
  <c r="L86" i="3"/>
  <c r="B86" i="3"/>
  <c r="X85" i="3"/>
  <c r="Z85" i="3" s="1"/>
  <c r="L85" i="3"/>
  <c r="N85" i="3" s="1"/>
  <c r="B85" i="3"/>
  <c r="Z84" i="3"/>
  <c r="X84" i="3"/>
  <c r="N84" i="3"/>
  <c r="L84" i="3"/>
  <c r="B84" i="3"/>
  <c r="X83" i="3"/>
  <c r="T83" i="3"/>
  <c r="Z83" i="3" s="1"/>
  <c r="P83" i="3"/>
  <c r="H83" i="3"/>
  <c r="D83" i="3"/>
  <c r="T81" i="3"/>
  <c r="P81" i="3"/>
  <c r="X81" i="3" s="1"/>
  <c r="L81" i="3"/>
  <c r="N81" i="3" s="1"/>
  <c r="H81" i="3"/>
  <c r="D81" i="3"/>
  <c r="B81" i="3"/>
  <c r="T80" i="3"/>
  <c r="P80" i="3"/>
  <c r="H80" i="3"/>
  <c r="L80" i="3" s="1"/>
  <c r="N80" i="3" s="1"/>
  <c r="D80" i="3"/>
  <c r="B80" i="3"/>
  <c r="T79" i="3"/>
  <c r="P79" i="3"/>
  <c r="X79" i="3" s="1"/>
  <c r="Z79" i="3" s="1"/>
  <c r="H79" i="3"/>
  <c r="D79" i="3"/>
  <c r="L79" i="3" s="1"/>
  <c r="N79" i="3" s="1"/>
  <c r="B79" i="3"/>
  <c r="T78" i="3"/>
  <c r="P78" i="3"/>
  <c r="X78" i="3" s="1"/>
  <c r="H78" i="3"/>
  <c r="N78" i="3" s="1"/>
  <c r="D78" i="3"/>
  <c r="L78" i="3" s="1"/>
  <c r="B78" i="3"/>
  <c r="X77" i="3"/>
  <c r="T77" i="3"/>
  <c r="Z77" i="3" s="1"/>
  <c r="P77" i="3"/>
  <c r="H77" i="3"/>
  <c r="D77" i="3"/>
  <c r="L77" i="3" s="1"/>
  <c r="B77" i="3"/>
  <c r="T76" i="3"/>
  <c r="X76" i="3" s="1"/>
  <c r="Z76" i="3" s="1"/>
  <c r="P76" i="3"/>
  <c r="H76" i="3"/>
  <c r="D76" i="3"/>
  <c r="B76" i="3"/>
  <c r="Z75" i="3"/>
  <c r="T75" i="3"/>
  <c r="P75" i="3"/>
  <c r="X75" i="3" s="1"/>
  <c r="N75" i="3"/>
  <c r="H75" i="3"/>
  <c r="D75" i="3"/>
  <c r="L75" i="3" s="1"/>
  <c r="B75" i="3"/>
  <c r="T74" i="3"/>
  <c r="Z74" i="3" s="1"/>
  <c r="P74" i="3"/>
  <c r="X74" i="3" s="1"/>
  <c r="H74" i="3"/>
  <c r="D74" i="3"/>
  <c r="L74" i="3" s="1"/>
  <c r="B74" i="3"/>
  <c r="T73" i="3"/>
  <c r="Z73" i="3" s="1"/>
  <c r="P73" i="3"/>
  <c r="X73" i="3" s="1"/>
  <c r="L73" i="3"/>
  <c r="H73" i="3"/>
  <c r="N73" i="3" s="1"/>
  <c r="D73" i="3"/>
  <c r="B73" i="3"/>
  <c r="T72" i="3"/>
  <c r="P72" i="3"/>
  <c r="H72" i="3"/>
  <c r="L72" i="3" s="1"/>
  <c r="N72" i="3" s="1"/>
  <c r="D72" i="3"/>
  <c r="B72" i="3"/>
  <c r="T71" i="3"/>
  <c r="P71" i="3"/>
  <c r="X71" i="3" s="1"/>
  <c r="Z71" i="3" s="1"/>
  <c r="H71" i="3"/>
  <c r="D71" i="3"/>
  <c r="L71" i="3" s="1"/>
  <c r="N71" i="3" s="1"/>
  <c r="B71" i="3"/>
  <c r="T70" i="3"/>
  <c r="Z70" i="3" s="1"/>
  <c r="P70" i="3"/>
  <c r="X70" i="3" s="1"/>
  <c r="H70" i="3"/>
  <c r="D70" i="3"/>
  <c r="L70" i="3" s="1"/>
  <c r="B70" i="3"/>
  <c r="X69" i="3"/>
  <c r="T69" i="3"/>
  <c r="Z69" i="3" s="1"/>
  <c r="P69" i="3"/>
  <c r="H69" i="3"/>
  <c r="N69" i="3" s="1"/>
  <c r="D69" i="3"/>
  <c r="L69" i="3" s="1"/>
  <c r="B69" i="3"/>
  <c r="T68" i="3"/>
  <c r="X68" i="3" s="1"/>
  <c r="Z68" i="3" s="1"/>
  <c r="P68" i="3"/>
  <c r="H68" i="3"/>
  <c r="D68" i="3"/>
  <c r="B68" i="3"/>
  <c r="T67" i="3"/>
  <c r="P67" i="3"/>
  <c r="X67" i="3" s="1"/>
  <c r="Z67" i="3" s="1"/>
  <c r="H67" i="3"/>
  <c r="D67" i="3"/>
  <c r="L67" i="3" s="1"/>
  <c r="N67" i="3" s="1"/>
  <c r="B67" i="3"/>
  <c r="T66" i="3"/>
  <c r="P66" i="3"/>
  <c r="X66" i="3" s="1"/>
  <c r="H66" i="3"/>
  <c r="D66" i="3"/>
  <c r="L66" i="3" s="1"/>
  <c r="B66" i="3"/>
  <c r="T65" i="3"/>
  <c r="P65" i="3"/>
  <c r="X65" i="3" s="1"/>
  <c r="L65" i="3"/>
  <c r="H65" i="3"/>
  <c r="N65" i="3" s="1"/>
  <c r="D65" i="3"/>
  <c r="B65" i="3"/>
  <c r="T64" i="3"/>
  <c r="P64" i="3"/>
  <c r="H64" i="3"/>
  <c r="L64" i="3" s="1"/>
  <c r="N64" i="3" s="1"/>
  <c r="D64" i="3"/>
  <c r="B64" i="3"/>
  <c r="Z63" i="3"/>
  <c r="T63" i="3"/>
  <c r="P63" i="3"/>
  <c r="X63" i="3" s="1"/>
  <c r="N63" i="3"/>
  <c r="H63" i="3"/>
  <c r="D63" i="3"/>
  <c r="L63" i="3" s="1"/>
  <c r="B63" i="3"/>
  <c r="T62" i="3"/>
  <c r="P62" i="3"/>
  <c r="X62" i="3" s="1"/>
  <c r="H62" i="3"/>
  <c r="N62" i="3" s="1"/>
  <c r="D62" i="3"/>
  <c r="L62" i="3" s="1"/>
  <c r="B62" i="3"/>
  <c r="X61" i="3"/>
  <c r="T61" i="3"/>
  <c r="Z61" i="3" s="1"/>
  <c r="P61" i="3"/>
  <c r="H61" i="3"/>
  <c r="D61" i="3"/>
  <c r="L61" i="3" s="1"/>
  <c r="B61" i="3"/>
  <c r="T60" i="3"/>
  <c r="X60" i="3" s="1"/>
  <c r="Z60" i="3" s="1"/>
  <c r="P60" i="3"/>
  <c r="H60" i="3"/>
  <c r="D60" i="3"/>
  <c r="B60" i="3"/>
  <c r="T59" i="3"/>
  <c r="P59" i="3"/>
  <c r="X59" i="3" s="1"/>
  <c r="Z59" i="3" s="1"/>
  <c r="H59" i="3"/>
  <c r="D59" i="3"/>
  <c r="L59" i="3" s="1"/>
  <c r="N59" i="3" s="1"/>
  <c r="B59" i="3"/>
  <c r="T58" i="3"/>
  <c r="P58" i="3"/>
  <c r="X58" i="3" s="1"/>
  <c r="H58" i="3"/>
  <c r="N58" i="3" s="1"/>
  <c r="D58" i="3"/>
  <c r="L58" i="3" s="1"/>
  <c r="B58" i="3"/>
  <c r="T57" i="3"/>
  <c r="Z57" i="3" s="1"/>
  <c r="P57" i="3"/>
  <c r="X57" i="3" s="1"/>
  <c r="L57" i="3"/>
  <c r="H57" i="3"/>
  <c r="N57" i="3" s="1"/>
  <c r="D57" i="3"/>
  <c r="B57" i="3"/>
  <c r="T56" i="3"/>
  <c r="P56" i="3"/>
  <c r="H56" i="3"/>
  <c r="L56" i="3" s="1"/>
  <c r="N56" i="3" s="1"/>
  <c r="D56" i="3"/>
  <c r="B56" i="3"/>
  <c r="T55" i="3"/>
  <c r="P55" i="3"/>
  <c r="X55" i="3" s="1"/>
  <c r="Z55" i="3" s="1"/>
  <c r="H55" i="3"/>
  <c r="D55" i="3"/>
  <c r="L55" i="3" s="1"/>
  <c r="N55" i="3" s="1"/>
  <c r="B55" i="3"/>
  <c r="T54" i="3"/>
  <c r="Z54" i="3" s="1"/>
  <c r="P54" i="3"/>
  <c r="X54" i="3" s="1"/>
  <c r="H54" i="3"/>
  <c r="N54" i="3" s="1"/>
  <c r="D54" i="3"/>
  <c r="L54" i="3" s="1"/>
  <c r="B54" i="3"/>
  <c r="X53" i="3"/>
  <c r="T53" i="3"/>
  <c r="Z53" i="3" s="1"/>
  <c r="P53" i="3"/>
  <c r="H53" i="3"/>
  <c r="N53" i="3" s="1"/>
  <c r="D53" i="3"/>
  <c r="L53" i="3" s="1"/>
  <c r="B53" i="3"/>
  <c r="T52" i="3"/>
  <c r="X52" i="3" s="1"/>
  <c r="Z52" i="3" s="1"/>
  <c r="P52" i="3"/>
  <c r="H52" i="3"/>
  <c r="D52" i="3"/>
  <c r="B52" i="3"/>
  <c r="T51" i="3"/>
  <c r="P51" i="3"/>
  <c r="X51" i="3" s="1"/>
  <c r="Z51" i="3" s="1"/>
  <c r="H51" i="3"/>
  <c r="D51" i="3"/>
  <c r="L51" i="3" s="1"/>
  <c r="N51" i="3" s="1"/>
  <c r="B51" i="3"/>
  <c r="T50" i="3"/>
  <c r="Z50" i="3" s="1"/>
  <c r="P50" i="3"/>
  <c r="X50" i="3" s="1"/>
  <c r="H50" i="3"/>
  <c r="D50" i="3"/>
  <c r="L50" i="3" s="1"/>
  <c r="B50" i="3"/>
  <c r="T49" i="3"/>
  <c r="Z49" i="3" s="1"/>
  <c r="P49" i="3"/>
  <c r="X49" i="3" s="1"/>
  <c r="L49" i="3"/>
  <c r="H49" i="3"/>
  <c r="N49" i="3" s="1"/>
  <c r="D49" i="3"/>
  <c r="B49" i="3"/>
  <c r="T48" i="3"/>
  <c r="P48" i="3"/>
  <c r="H48" i="3"/>
  <c r="L48" i="3" s="1"/>
  <c r="N48" i="3" s="1"/>
  <c r="D48" i="3"/>
  <c r="B48" i="3"/>
  <c r="T47" i="3"/>
  <c r="P47" i="3"/>
  <c r="X47" i="3" s="1"/>
  <c r="Z47" i="3" s="1"/>
  <c r="H47" i="3"/>
  <c r="D47" i="3"/>
  <c r="L47" i="3" s="1"/>
  <c r="N47" i="3" s="1"/>
  <c r="B47" i="3"/>
  <c r="T46" i="3"/>
  <c r="Z46" i="3" s="1"/>
  <c r="P46" i="3"/>
  <c r="X46" i="3" s="1"/>
  <c r="H46" i="3"/>
  <c r="D46" i="3"/>
  <c r="L46" i="3" s="1"/>
  <c r="B46" i="3"/>
  <c r="X45" i="3"/>
  <c r="T45" i="3"/>
  <c r="Z45" i="3" s="1"/>
  <c r="P45" i="3"/>
  <c r="H45" i="3"/>
  <c r="N45" i="3" s="1"/>
  <c r="D45" i="3"/>
  <c r="L45" i="3" s="1"/>
  <c r="B45" i="3"/>
  <c r="T44" i="3"/>
  <c r="X44" i="3" s="1"/>
  <c r="Z44" i="3" s="1"/>
  <c r="P44" i="3"/>
  <c r="H44" i="3"/>
  <c r="D44" i="3"/>
  <c r="B44" i="3"/>
  <c r="T43" i="3"/>
  <c r="P43" i="3"/>
  <c r="X43" i="3" s="1"/>
  <c r="Z43" i="3" s="1"/>
  <c r="H43" i="3"/>
  <c r="D43" i="3"/>
  <c r="L43" i="3" s="1"/>
  <c r="N43" i="3" s="1"/>
  <c r="B43" i="3"/>
  <c r="T42" i="3"/>
  <c r="P42" i="3"/>
  <c r="X42" i="3" s="1"/>
  <c r="H42" i="3"/>
  <c r="D42" i="3"/>
  <c r="L42" i="3" s="1"/>
  <c r="B42" i="3"/>
  <c r="T41" i="3"/>
  <c r="P41" i="3"/>
  <c r="X41" i="3" s="1"/>
  <c r="L41" i="3"/>
  <c r="N41" i="3" s="1"/>
  <c r="H41" i="3"/>
  <c r="D41" i="3"/>
  <c r="B41" i="3"/>
  <c r="T40" i="3"/>
  <c r="P40" i="3"/>
  <c r="H40" i="3"/>
  <c r="L40" i="3" s="1"/>
  <c r="N40" i="3" s="1"/>
  <c r="D40" i="3"/>
  <c r="B40" i="3"/>
  <c r="T39" i="3"/>
  <c r="P39" i="3"/>
  <c r="X39" i="3" s="1"/>
  <c r="Z39" i="3" s="1"/>
  <c r="H39" i="3"/>
  <c r="D39" i="3"/>
  <c r="L39" i="3" s="1"/>
  <c r="N39" i="3" s="1"/>
  <c r="B39" i="3"/>
  <c r="T38" i="3"/>
  <c r="P38" i="3"/>
  <c r="H38" i="3"/>
  <c r="D38" i="3"/>
  <c r="L38" i="3" s="1"/>
  <c r="B38" i="3"/>
  <c r="X37" i="3"/>
  <c r="Z37" i="3" s="1"/>
  <c r="T37" i="3"/>
  <c r="P37" i="3"/>
  <c r="H37" i="3"/>
  <c r="D37" i="3"/>
  <c r="L37" i="3" s="1"/>
  <c r="B37" i="3"/>
  <c r="T36" i="3"/>
  <c r="X36" i="3" s="1"/>
  <c r="Z36" i="3" s="1"/>
  <c r="P36" i="3"/>
  <c r="H36" i="3"/>
  <c r="D36" i="3"/>
  <c r="B36" i="3"/>
  <c r="Z35" i="3"/>
  <c r="T35" i="3"/>
  <c r="P35" i="3"/>
  <c r="X35" i="3" s="1"/>
  <c r="N35" i="3"/>
  <c r="H35" i="3"/>
  <c r="D35" i="3"/>
  <c r="L35" i="3" s="1"/>
  <c r="B35" i="3"/>
  <c r="T34" i="3"/>
  <c r="Z34" i="3" s="1"/>
  <c r="P34" i="3"/>
  <c r="X34" i="3" s="1"/>
  <c r="H34" i="3"/>
  <c r="D34" i="3"/>
  <c r="B34" i="3"/>
  <c r="T33" i="3"/>
  <c r="Z33" i="3" s="1"/>
  <c r="P33" i="3"/>
  <c r="X33" i="3" s="1"/>
  <c r="L33" i="3"/>
  <c r="N33" i="3" s="1"/>
  <c r="H33" i="3"/>
  <c r="D33" i="3"/>
  <c r="B33" i="3"/>
  <c r="T32" i="3"/>
  <c r="P32" i="3"/>
  <c r="H32" i="3"/>
  <c r="L32" i="3" s="1"/>
  <c r="N32" i="3" s="1"/>
  <c r="D32" i="3"/>
  <c r="B32" i="3"/>
  <c r="T31" i="3"/>
  <c r="P31" i="3"/>
  <c r="X31" i="3" s="1"/>
  <c r="Z31" i="3" s="1"/>
  <c r="H31" i="3"/>
  <c r="D31" i="3"/>
  <c r="L31" i="3" s="1"/>
  <c r="N31" i="3" s="1"/>
  <c r="B31" i="3"/>
  <c r="T30" i="3"/>
  <c r="P30" i="3"/>
  <c r="H30" i="3"/>
  <c r="N30" i="3" s="1"/>
  <c r="D30" i="3"/>
  <c r="L30" i="3" s="1"/>
  <c r="B30" i="3"/>
  <c r="Z29" i="3"/>
  <c r="X29" i="3"/>
  <c r="T29" i="3"/>
  <c r="P29" i="3"/>
  <c r="H29" i="3"/>
  <c r="N29" i="3" s="1"/>
  <c r="D29" i="3"/>
  <c r="L29" i="3" s="1"/>
  <c r="B29" i="3"/>
  <c r="T28" i="3"/>
  <c r="X28" i="3" s="1"/>
  <c r="Z28" i="3" s="1"/>
  <c r="P28" i="3"/>
  <c r="H28" i="3"/>
  <c r="D28" i="3"/>
  <c r="B28" i="3"/>
  <c r="T27" i="3"/>
  <c r="P27" i="3"/>
  <c r="X27" i="3" s="1"/>
  <c r="Z27" i="3" s="1"/>
  <c r="H27" i="3"/>
  <c r="D27" i="3"/>
  <c r="L27" i="3" s="1"/>
  <c r="N27" i="3" s="1"/>
  <c r="B27" i="3"/>
  <c r="T26" i="3"/>
  <c r="P26" i="3"/>
  <c r="X26" i="3" s="1"/>
  <c r="H26" i="3"/>
  <c r="D26" i="3"/>
  <c r="B26" i="3"/>
  <c r="T25" i="3"/>
  <c r="P25" i="3"/>
  <c r="X25" i="3" s="1"/>
  <c r="L25" i="3"/>
  <c r="N25" i="3" s="1"/>
  <c r="H25" i="3"/>
  <c r="D25" i="3"/>
  <c r="B25" i="3"/>
  <c r="T24" i="3"/>
  <c r="P24" i="3"/>
  <c r="H24" i="3"/>
  <c r="L24" i="3" s="1"/>
  <c r="N24" i="3" s="1"/>
  <c r="D24" i="3"/>
  <c r="B24" i="3"/>
  <c r="T23" i="3"/>
  <c r="P23" i="3"/>
  <c r="X23" i="3" s="1"/>
  <c r="Z23" i="3" s="1"/>
  <c r="H23" i="3"/>
  <c r="D23" i="3"/>
  <c r="L23" i="3" s="1"/>
  <c r="N23" i="3" s="1"/>
  <c r="B23" i="3"/>
  <c r="T22" i="3"/>
  <c r="P22" i="3"/>
  <c r="H22" i="3"/>
  <c r="N22" i="3" s="1"/>
  <c r="D22" i="3"/>
  <c r="L22" i="3" s="1"/>
  <c r="B22" i="3"/>
  <c r="X21" i="3"/>
  <c r="Z21" i="3" s="1"/>
  <c r="T21" i="3"/>
  <c r="P21" i="3"/>
  <c r="H21" i="3"/>
  <c r="D21" i="3"/>
  <c r="L21" i="3" s="1"/>
  <c r="B21" i="3"/>
  <c r="T20" i="3"/>
  <c r="X20" i="3" s="1"/>
  <c r="Z20" i="3" s="1"/>
  <c r="P20" i="3"/>
  <c r="H20" i="3"/>
  <c r="D20" i="3"/>
  <c r="B20" i="3"/>
  <c r="T19" i="3"/>
  <c r="P19" i="3"/>
  <c r="X19" i="3" s="1"/>
  <c r="Z19" i="3" s="1"/>
  <c r="H19" i="3"/>
  <c r="D19" i="3"/>
  <c r="L19" i="3" s="1"/>
  <c r="N19" i="3" s="1"/>
  <c r="B19" i="3"/>
  <c r="T18" i="3"/>
  <c r="Z18" i="3" s="1"/>
  <c r="P18" i="3"/>
  <c r="X18" i="3" s="1"/>
  <c r="H18" i="3"/>
  <c r="H12" i="3" s="1"/>
  <c r="D18" i="3"/>
  <c r="B18" i="3"/>
  <c r="T17" i="3"/>
  <c r="Z17" i="3" s="1"/>
  <c r="P17" i="3"/>
  <c r="X17" i="3" s="1"/>
  <c r="L17" i="3"/>
  <c r="N17" i="3" s="1"/>
  <c r="H17" i="3"/>
  <c r="D17" i="3"/>
  <c r="B17" i="3"/>
  <c r="T16" i="3"/>
  <c r="P16" i="3"/>
  <c r="H16" i="3"/>
  <c r="L16" i="3" s="1"/>
  <c r="N16" i="3" s="1"/>
  <c r="D16" i="3"/>
  <c r="B16" i="3"/>
  <c r="T15" i="3"/>
  <c r="P15" i="3"/>
  <c r="X15" i="3" s="1"/>
  <c r="Z15" i="3" s="1"/>
  <c r="H15" i="3"/>
  <c r="D15" i="3"/>
  <c r="L15" i="3" s="1"/>
  <c r="N15" i="3" s="1"/>
  <c r="B15" i="3"/>
  <c r="T14" i="3"/>
  <c r="T12" i="3" s="1"/>
  <c r="P14" i="3"/>
  <c r="H14" i="3"/>
  <c r="D14" i="3"/>
  <c r="L14" i="3" s="1"/>
  <c r="B14" i="3"/>
  <c r="X13" i="3"/>
  <c r="Z13" i="3" s="1"/>
  <c r="T13" i="3"/>
  <c r="P13" i="3"/>
  <c r="P12" i="3" s="1"/>
  <c r="H13" i="3"/>
  <c r="N13" i="3" s="1"/>
  <c r="D13" i="3"/>
  <c r="L13" i="3" s="1"/>
  <c r="B13" i="3"/>
  <c r="D4" i="3"/>
  <c r="L34" i="98" l="1"/>
  <c r="X16" i="50"/>
  <c r="L29" i="98"/>
  <c r="L22" i="41"/>
  <c r="L24" i="46"/>
  <c r="L29" i="4"/>
  <c r="L20" i="19"/>
  <c r="X24" i="19"/>
  <c r="L15" i="20"/>
  <c r="L33" i="25"/>
  <c r="L20" i="4"/>
  <c r="L34" i="11"/>
  <c r="X25" i="14"/>
  <c r="L13" i="17"/>
  <c r="X24" i="35"/>
  <c r="X29" i="32"/>
  <c r="X34" i="41"/>
  <c r="X16" i="5"/>
  <c r="X21" i="20"/>
  <c r="X15" i="7"/>
  <c r="L20" i="8"/>
  <c r="L33" i="14"/>
  <c r="X15" i="17"/>
  <c r="L15" i="19"/>
  <c r="X33" i="20"/>
  <c r="X29" i="22"/>
  <c r="X24" i="23"/>
  <c r="X15" i="49"/>
  <c r="X20" i="4"/>
  <c r="X25" i="37"/>
  <c r="L25" i="41"/>
  <c r="L34" i="16"/>
  <c r="L24" i="17"/>
  <c r="X16" i="31"/>
  <c r="L24" i="31"/>
  <c r="X13" i="32"/>
  <c r="L22" i="34"/>
  <c r="F24" i="35"/>
  <c r="L25" i="97"/>
  <c r="X34" i="98"/>
  <c r="L13" i="5"/>
  <c r="L29" i="7"/>
  <c r="L34" i="7"/>
  <c r="X16" i="8"/>
  <c r="L24" i="8"/>
  <c r="L33" i="11"/>
  <c r="L16" i="52"/>
  <c r="X25" i="97"/>
  <c r="X33" i="97"/>
  <c r="L13" i="98"/>
  <c r="X13" i="29"/>
  <c r="L16" i="29"/>
  <c r="X22" i="29"/>
  <c r="L15" i="32"/>
  <c r="X21" i="32"/>
  <c r="L29" i="32"/>
  <c r="X25" i="5"/>
  <c r="X33" i="5"/>
  <c r="X20" i="14"/>
  <c r="X15" i="16"/>
  <c r="X29" i="16"/>
  <c r="X34" i="16"/>
  <c r="X24" i="17"/>
  <c r="L21" i="19"/>
  <c r="X21" i="23"/>
  <c r="L29" i="23"/>
  <c r="X21" i="26"/>
  <c r="L34" i="26"/>
  <c r="L21" i="28"/>
  <c r="L33" i="34"/>
  <c r="X20" i="35"/>
  <c r="L22" i="35"/>
  <c r="X29" i="35"/>
  <c r="X13" i="38"/>
  <c r="X25" i="46"/>
  <c r="X33" i="46"/>
  <c r="L16" i="47"/>
  <c r="X20" i="49"/>
  <c r="L22" i="49"/>
  <c r="X24" i="50"/>
  <c r="X34" i="52"/>
  <c r="L25" i="96"/>
  <c r="L33" i="96"/>
  <c r="X16" i="98"/>
  <c r="L21" i="98"/>
  <c r="X13" i="13"/>
  <c r="L21" i="13"/>
  <c r="L25" i="16"/>
  <c r="X16" i="20"/>
  <c r="L24" i="20"/>
  <c r="X15" i="26"/>
  <c r="X29" i="26"/>
  <c r="X25" i="29"/>
  <c r="X33" i="29"/>
  <c r="X29" i="31"/>
  <c r="X21" i="40"/>
  <c r="L21" i="41"/>
  <c r="V18" i="43"/>
  <c r="L16" i="49"/>
  <c r="X20" i="50"/>
  <c r="X29" i="53"/>
  <c r="X25" i="96"/>
  <c r="X15" i="97"/>
  <c r="X12" i="11"/>
  <c r="X16" i="35"/>
  <c r="L24" i="35"/>
  <c r="X15" i="38"/>
  <c r="X29" i="38"/>
  <c r="X34" i="38"/>
  <c r="X24" i="40"/>
  <c r="X21" i="41"/>
  <c r="X29" i="43"/>
  <c r="X15" i="46"/>
  <c r="X24" i="47"/>
  <c r="L33" i="4"/>
  <c r="L22" i="5"/>
  <c r="L16" i="8"/>
  <c r="X22" i="8"/>
  <c r="L34" i="14"/>
  <c r="X33" i="17"/>
  <c r="X29" i="20"/>
  <c r="X25" i="22"/>
  <c r="X22" i="23"/>
  <c r="X33" i="25"/>
  <c r="X21" i="35"/>
  <c r="X20" i="40"/>
  <c r="L22" i="40"/>
  <c r="X33" i="50"/>
  <c r="L16" i="53"/>
  <c r="L29" i="20"/>
  <c r="L15" i="29"/>
  <c r="F20" i="5"/>
  <c r="L25" i="7"/>
  <c r="L33" i="7"/>
  <c r="X20" i="8"/>
  <c r="V22" i="10"/>
  <c r="X34" i="11"/>
  <c r="X21" i="13"/>
  <c r="L29" i="13"/>
  <c r="X33" i="16"/>
  <c r="X22" i="17"/>
  <c r="L25" i="26"/>
  <c r="L33" i="26"/>
  <c r="L29" i="29"/>
  <c r="L34" i="29"/>
  <c r="L20" i="32"/>
  <c r="L34" i="37"/>
  <c r="X29" i="44"/>
  <c r="X34" i="46"/>
  <c r="X20" i="52"/>
  <c r="L15" i="98"/>
  <c r="X21" i="98"/>
  <c r="L24" i="98"/>
  <c r="X13" i="7"/>
  <c r="Z12" i="10"/>
  <c r="L21" i="26"/>
  <c r="X33" i="26"/>
  <c r="L16" i="28"/>
  <c r="X20" i="32"/>
  <c r="L29" i="34"/>
  <c r="L34" i="34"/>
  <c r="L22" i="37"/>
  <c r="N12" i="38"/>
  <c r="X22" i="44"/>
  <c r="L33" i="44"/>
  <c r="X22" i="46"/>
  <c r="X22" i="52"/>
  <c r="X16" i="96"/>
  <c r="L33" i="97"/>
  <c r="X15" i="98"/>
  <c r="X24" i="98"/>
  <c r="V16" i="10"/>
  <c r="X16" i="4"/>
  <c r="X16" i="7"/>
  <c r="L21" i="11"/>
  <c r="R22" i="11"/>
  <c r="X29" i="14"/>
  <c r="X34" i="14"/>
  <c r="X24" i="16"/>
  <c r="L16" i="19"/>
  <c r="L33" i="20"/>
  <c r="L29" i="22"/>
  <c r="L15" i="25"/>
  <c r="L29" i="25"/>
  <c r="X25" i="31"/>
  <c r="X33" i="31"/>
  <c r="X24" i="34"/>
  <c r="X16" i="40"/>
  <c r="X16" i="49"/>
  <c r="X13" i="52"/>
  <c r="L13" i="53"/>
  <c r="X21" i="96"/>
  <c r="L16" i="97"/>
  <c r="L16" i="13"/>
  <c r="X13" i="20"/>
  <c r="P18" i="35"/>
  <c r="P27" i="35" s="1"/>
  <c r="P31" i="35" s="1"/>
  <c r="X16" i="97"/>
  <c r="X34" i="7"/>
  <c r="V29" i="10"/>
  <c r="L29" i="19"/>
  <c r="X15" i="23"/>
  <c r="L29" i="44"/>
  <c r="L20" i="52"/>
  <c r="L22" i="96"/>
  <c r="R16" i="34"/>
  <c r="V21" i="41"/>
  <c r="F15" i="10"/>
  <c r="X22" i="10"/>
  <c r="L25" i="10"/>
  <c r="L15" i="16"/>
  <c r="L24" i="16"/>
  <c r="L33" i="17"/>
  <c r="X34" i="17"/>
  <c r="L20" i="22"/>
  <c r="X24" i="22"/>
  <c r="X16" i="23"/>
  <c r="X25" i="23"/>
  <c r="X25" i="25"/>
  <c r="X25" i="28"/>
  <c r="X33" i="28"/>
  <c r="X20" i="29"/>
  <c r="L21" i="32"/>
  <c r="X22" i="32"/>
  <c r="V27" i="34"/>
  <c r="L34" i="35"/>
  <c r="L25" i="40"/>
  <c r="L29" i="41"/>
  <c r="L34" i="41"/>
  <c r="Z12" i="43"/>
  <c r="X24" i="43"/>
  <c r="L21" i="47"/>
  <c r="X33" i="47"/>
  <c r="X13" i="50"/>
  <c r="L21" i="50"/>
  <c r="X22" i="50"/>
  <c r="L13" i="52"/>
  <c r="L12" i="32"/>
  <c r="F36" i="10"/>
  <c r="X33" i="23"/>
  <c r="L33" i="31"/>
  <c r="X20" i="46"/>
  <c r="N12" i="50"/>
  <c r="R15" i="16"/>
  <c r="N12" i="17"/>
  <c r="L25" i="43"/>
  <c r="X34" i="49"/>
  <c r="L13" i="4"/>
  <c r="X34" i="4"/>
  <c r="X21" i="5"/>
  <c r="L29" i="5"/>
  <c r="L34" i="5"/>
  <c r="L20" i="7"/>
  <c r="L34" i="8"/>
  <c r="V15" i="10"/>
  <c r="L13" i="11"/>
  <c r="L22" i="11"/>
  <c r="L13" i="16"/>
  <c r="X20" i="16"/>
  <c r="L20" i="17"/>
  <c r="L29" i="17"/>
  <c r="R20" i="19"/>
  <c r="L22" i="19"/>
  <c r="X34" i="19"/>
  <c r="L16" i="22"/>
  <c r="X22" i="22"/>
  <c r="X20" i="23"/>
  <c r="X29" i="23"/>
  <c r="X15" i="25"/>
  <c r="L24" i="26"/>
  <c r="X25" i="26"/>
  <c r="X29" i="28"/>
  <c r="L24" i="29"/>
  <c r="L16" i="34"/>
  <c r="X15" i="37"/>
  <c r="L29" i="40"/>
  <c r="L33" i="41"/>
  <c r="F25" i="43"/>
  <c r="L15" i="44"/>
  <c r="X21" i="44"/>
  <c r="L21" i="46"/>
  <c r="L22" i="47"/>
  <c r="L15" i="49"/>
  <c r="L33" i="49"/>
  <c r="L25" i="53"/>
  <c r="L21" i="96"/>
  <c r="X22" i="96"/>
  <c r="L25" i="98"/>
  <c r="V31" i="43"/>
  <c r="F29" i="10"/>
  <c r="X22" i="4"/>
  <c r="L16" i="7"/>
  <c r="L22" i="10"/>
  <c r="L25" i="11"/>
  <c r="X13" i="16"/>
  <c r="X29" i="17"/>
  <c r="L33" i="19"/>
  <c r="L24" i="22"/>
  <c r="L33" i="23"/>
  <c r="L13" i="25"/>
  <c r="J15" i="26"/>
  <c r="R27" i="26"/>
  <c r="L20" i="29"/>
  <c r="X24" i="31"/>
  <c r="L16" i="32"/>
  <c r="L13" i="35"/>
  <c r="L13" i="37"/>
  <c r="P18" i="38"/>
  <c r="X25" i="38"/>
  <c r="X33" i="38"/>
  <c r="X13" i="40"/>
  <c r="L16" i="40"/>
  <c r="X24" i="44"/>
  <c r="X21" i="46"/>
  <c r="X22" i="47"/>
  <c r="L33" i="47"/>
  <c r="J15" i="49"/>
  <c r="L22" i="50"/>
  <c r="X34" i="50"/>
  <c r="L12" i="96"/>
  <c r="L15" i="96"/>
  <c r="N21" i="98"/>
  <c r="V34" i="38"/>
  <c r="Z12" i="38"/>
  <c r="L34" i="4"/>
  <c r="X24" i="5"/>
  <c r="R15" i="8"/>
  <c r="X21" i="8"/>
  <c r="V25" i="8"/>
  <c r="T18" i="10"/>
  <c r="T27" i="10" s="1"/>
  <c r="L21" i="10"/>
  <c r="L20" i="11"/>
  <c r="F36" i="50"/>
  <c r="F18" i="50"/>
  <c r="X13" i="4"/>
  <c r="L16" i="4"/>
  <c r="X13" i="5"/>
  <c r="X20" i="5"/>
  <c r="X29" i="5"/>
  <c r="L13" i="7"/>
  <c r="X21" i="7"/>
  <c r="L24" i="7"/>
  <c r="X25" i="7"/>
  <c r="X33" i="7"/>
  <c r="X24" i="8"/>
  <c r="L29" i="8"/>
  <c r="X12" i="10"/>
  <c r="L15" i="10"/>
  <c r="X25" i="10"/>
  <c r="X29" i="10"/>
  <c r="X24" i="11"/>
  <c r="V24" i="53"/>
  <c r="V27" i="53"/>
  <c r="V34" i="53"/>
  <c r="T18" i="53"/>
  <c r="T27" i="53" s="1"/>
  <c r="L22" i="22"/>
  <c r="X29" i="41"/>
  <c r="X34" i="5"/>
  <c r="L16" i="10"/>
  <c r="L20" i="10"/>
  <c r="L15" i="4"/>
  <c r="X25" i="4"/>
  <c r="F33" i="4"/>
  <c r="L15" i="5"/>
  <c r="X22" i="5"/>
  <c r="X20" i="7"/>
  <c r="R24" i="7"/>
  <c r="L15" i="8"/>
  <c r="X16" i="10"/>
  <c r="X20" i="10"/>
  <c r="J27" i="10"/>
  <c r="L33" i="10"/>
  <c r="X22" i="11"/>
  <c r="Z34" i="34"/>
  <c r="X34" i="34"/>
  <c r="X20" i="11"/>
  <c r="V36" i="4"/>
  <c r="V16" i="5"/>
  <c r="F15" i="8"/>
  <c r="L33" i="8"/>
  <c r="P18" i="10"/>
  <c r="L29" i="10"/>
  <c r="T18" i="13"/>
  <c r="T27" i="13" s="1"/>
  <c r="L20" i="97"/>
  <c r="N20" i="97"/>
  <c r="R25" i="10"/>
  <c r="X15" i="4"/>
  <c r="L24" i="4"/>
  <c r="V25" i="4"/>
  <c r="X33" i="4"/>
  <c r="X15" i="5"/>
  <c r="L21" i="5"/>
  <c r="L24" i="5"/>
  <c r="X22" i="7"/>
  <c r="F33" i="8"/>
  <c r="L12" i="10"/>
  <c r="X13" i="10"/>
  <c r="X34" i="10"/>
  <c r="L13" i="31"/>
  <c r="L29" i="11"/>
  <c r="L13" i="13"/>
  <c r="R15" i="13"/>
  <c r="L24" i="13"/>
  <c r="X33" i="13"/>
  <c r="L13" i="14"/>
  <c r="L22" i="14"/>
  <c r="J15" i="17"/>
  <c r="H18" i="17"/>
  <c r="H27" i="17" s="1"/>
  <c r="R16" i="19"/>
  <c r="R29" i="20"/>
  <c r="L25" i="22"/>
  <c r="X34" i="22"/>
  <c r="L34" i="23"/>
  <c r="X24" i="25"/>
  <c r="L13" i="26"/>
  <c r="X20" i="26"/>
  <c r="L22" i="26"/>
  <c r="X24" i="26"/>
  <c r="L29" i="26"/>
  <c r="X13" i="28"/>
  <c r="X22" i="28"/>
  <c r="X34" i="28"/>
  <c r="X16" i="29"/>
  <c r="L33" i="29"/>
  <c r="R36" i="31"/>
  <c r="X33" i="32"/>
  <c r="V34" i="34"/>
  <c r="L15" i="35"/>
  <c r="L25" i="38"/>
  <c r="L24" i="40"/>
  <c r="L33" i="40"/>
  <c r="R15" i="43"/>
  <c r="L34" i="43"/>
  <c r="X13" i="44"/>
  <c r="F16" i="44"/>
  <c r="F22" i="44"/>
  <c r="X16" i="46"/>
  <c r="J22" i="46"/>
  <c r="X15" i="47"/>
  <c r="V16" i="47"/>
  <c r="X21" i="47"/>
  <c r="X25" i="47"/>
  <c r="F33" i="47"/>
  <c r="X21" i="50"/>
  <c r="L24" i="50"/>
  <c r="L24" i="52"/>
  <c r="X12" i="53"/>
  <c r="J21" i="53"/>
  <c r="L33" i="53"/>
  <c r="L16" i="96"/>
  <c r="X29" i="96"/>
  <c r="X13" i="97"/>
  <c r="X34" i="97"/>
  <c r="X20" i="98"/>
  <c r="X16" i="19"/>
  <c r="F24" i="52"/>
  <c r="X20" i="13"/>
  <c r="J27" i="17"/>
  <c r="Z16" i="19"/>
  <c r="L25" i="20"/>
  <c r="L15" i="22"/>
  <c r="L21" i="22"/>
  <c r="L33" i="22"/>
  <c r="L15" i="23"/>
  <c r="L22" i="25"/>
  <c r="X15" i="29"/>
  <c r="Z12" i="32"/>
  <c r="L29" i="35"/>
  <c r="L15" i="40"/>
  <c r="R20" i="40"/>
  <c r="L13" i="41"/>
  <c r="X15" i="41"/>
  <c r="X25" i="41"/>
  <c r="L20" i="43"/>
  <c r="X25" i="43"/>
  <c r="L34" i="44"/>
  <c r="V18" i="46"/>
  <c r="V25" i="47"/>
  <c r="L21" i="49"/>
  <c r="Z34" i="49"/>
  <c r="N12" i="96"/>
  <c r="N12" i="16"/>
  <c r="R25" i="19"/>
  <c r="J15" i="20"/>
  <c r="V16" i="32"/>
  <c r="F22" i="34"/>
  <c r="V33" i="34"/>
  <c r="R15" i="38"/>
  <c r="R16" i="40"/>
  <c r="R24" i="43"/>
  <c r="N21" i="49"/>
  <c r="V20" i="50"/>
  <c r="J16" i="52"/>
  <c r="V20" i="13"/>
  <c r="X34" i="13"/>
  <c r="X16" i="16"/>
  <c r="L21" i="16"/>
  <c r="X25" i="16"/>
  <c r="X13" i="17"/>
  <c r="X20" i="17"/>
  <c r="L24" i="19"/>
  <c r="L13" i="20"/>
  <c r="X15" i="20"/>
  <c r="X15" i="22"/>
  <c r="X33" i="22"/>
  <c r="L13" i="23"/>
  <c r="L24" i="23"/>
  <c r="L16" i="25"/>
  <c r="L25" i="25"/>
  <c r="L15" i="26"/>
  <c r="X16" i="26"/>
  <c r="X15" i="28"/>
  <c r="L24" i="28"/>
  <c r="X24" i="29"/>
  <c r="F29" i="29"/>
  <c r="L15" i="31"/>
  <c r="X15" i="32"/>
  <c r="L25" i="32"/>
  <c r="X34" i="32"/>
  <c r="L15" i="34"/>
  <c r="L25" i="34"/>
  <c r="X29" i="34"/>
  <c r="L29" i="43"/>
  <c r="X33" i="43"/>
  <c r="F36" i="43"/>
  <c r="P18" i="44"/>
  <c r="P27" i="44" s="1"/>
  <c r="L20" i="44"/>
  <c r="R21" i="44"/>
  <c r="X25" i="44"/>
  <c r="L13" i="46"/>
  <c r="X13" i="49"/>
  <c r="X21" i="49"/>
  <c r="L24" i="49"/>
  <c r="X33" i="49"/>
  <c r="Z12" i="50"/>
  <c r="X29" i="50"/>
  <c r="F15" i="52"/>
  <c r="X16" i="52"/>
  <c r="X24" i="52"/>
  <c r="L22" i="53"/>
  <c r="J15" i="96"/>
  <c r="L15" i="13"/>
  <c r="X16" i="13"/>
  <c r="V29" i="13"/>
  <c r="J15" i="16"/>
  <c r="R16" i="16"/>
  <c r="L33" i="16"/>
  <c r="X24" i="28"/>
  <c r="L20" i="31"/>
  <c r="X34" i="31"/>
  <c r="L21" i="34"/>
  <c r="F25" i="34"/>
  <c r="X34" i="37"/>
  <c r="X24" i="38"/>
  <c r="L13" i="40"/>
  <c r="R18" i="40"/>
  <c r="R25" i="44"/>
  <c r="L21" i="52"/>
  <c r="X15" i="96"/>
  <c r="T18" i="98"/>
  <c r="L33" i="98"/>
  <c r="X22" i="13"/>
  <c r="L33" i="13"/>
  <c r="V36" i="13"/>
  <c r="X24" i="14"/>
  <c r="L29" i="14"/>
  <c r="X21" i="16"/>
  <c r="J27" i="16"/>
  <c r="R36" i="16"/>
  <c r="X12" i="17"/>
  <c r="L15" i="17"/>
  <c r="L25" i="17"/>
  <c r="L34" i="19"/>
  <c r="X20" i="20"/>
  <c r="L34" i="20"/>
  <c r="L13" i="22"/>
  <c r="X13" i="23"/>
  <c r="L16" i="23"/>
  <c r="L22" i="23"/>
  <c r="L20" i="26"/>
  <c r="L22" i="28"/>
  <c r="L34" i="28"/>
  <c r="X15" i="31"/>
  <c r="N33" i="31"/>
  <c r="L24" i="32"/>
  <c r="V31" i="34"/>
  <c r="X25" i="35"/>
  <c r="L33" i="35"/>
  <c r="L15" i="37"/>
  <c r="X16" i="37"/>
  <c r="L21" i="37"/>
  <c r="X22" i="37"/>
  <c r="X12" i="38"/>
  <c r="L34" i="38"/>
  <c r="L20" i="40"/>
  <c r="X16" i="41"/>
  <c r="X33" i="41"/>
  <c r="L21" i="43"/>
  <c r="X22" i="43"/>
  <c r="V33" i="43"/>
  <c r="X13" i="46"/>
  <c r="L22" i="46"/>
  <c r="X24" i="46"/>
  <c r="L15" i="47"/>
  <c r="L29" i="49"/>
  <c r="L34" i="49"/>
  <c r="L13" i="50"/>
  <c r="L20" i="50"/>
  <c r="L25" i="50"/>
  <c r="F21" i="52"/>
  <c r="L15" i="53"/>
  <c r="L21" i="53"/>
  <c r="X34" i="53"/>
  <c r="L13" i="96"/>
  <c r="X24" i="96"/>
  <c r="L29" i="96"/>
  <c r="X33" i="96"/>
  <c r="L20" i="98"/>
  <c r="T18" i="8"/>
  <c r="T27" i="8" s="1"/>
  <c r="Z27" i="8" s="1"/>
  <c r="V36" i="8"/>
  <c r="F15" i="4"/>
  <c r="T18" i="4"/>
  <c r="T27" i="4" s="1"/>
  <c r="T31" i="4" s="1"/>
  <c r="L22" i="4"/>
  <c r="V29" i="4"/>
  <c r="Z12" i="5"/>
  <c r="F22" i="5"/>
  <c r="L22" i="8"/>
  <c r="V29" i="8"/>
  <c r="R15" i="10"/>
  <c r="R29" i="10"/>
  <c r="X33" i="10"/>
  <c r="V20" i="19"/>
  <c r="V22" i="19"/>
  <c r="X34" i="20"/>
  <c r="Z34" i="20"/>
  <c r="X12" i="32"/>
  <c r="R16" i="32"/>
  <c r="R22" i="32"/>
  <c r="R20" i="32"/>
  <c r="P18" i="4"/>
  <c r="P27" i="4" s="1"/>
  <c r="L21" i="4"/>
  <c r="X24" i="4"/>
  <c r="L20" i="5"/>
  <c r="L12" i="7"/>
  <c r="V15" i="7"/>
  <c r="L13" i="8"/>
  <c r="L21" i="8"/>
  <c r="V25" i="10"/>
  <c r="R33" i="10"/>
  <c r="L21" i="14"/>
  <c r="L21" i="20"/>
  <c r="N21" i="20"/>
  <c r="X21" i="29"/>
  <c r="J24" i="31"/>
  <c r="N12" i="31"/>
  <c r="J27" i="31"/>
  <c r="J15" i="31"/>
  <c r="J22" i="31"/>
  <c r="J21" i="31"/>
  <c r="J34" i="31"/>
  <c r="L25" i="31"/>
  <c r="N25" i="31"/>
  <c r="J20" i="13"/>
  <c r="J24" i="13"/>
  <c r="X16" i="28"/>
  <c r="Z16" i="28"/>
  <c r="R15" i="4"/>
  <c r="R22" i="5"/>
  <c r="F18" i="7"/>
  <c r="X29" i="7"/>
  <c r="X13" i="8"/>
  <c r="X34" i="8"/>
  <c r="J24" i="10"/>
  <c r="F25" i="10"/>
  <c r="J31" i="10"/>
  <c r="V33" i="10"/>
  <c r="F24" i="11"/>
  <c r="F31" i="11"/>
  <c r="F27" i="11"/>
  <c r="F22" i="11"/>
  <c r="F20" i="11"/>
  <c r="F34" i="11"/>
  <c r="L16" i="17"/>
  <c r="N16" i="17"/>
  <c r="L22" i="17"/>
  <c r="J31" i="31"/>
  <c r="X21" i="4"/>
  <c r="F29" i="4"/>
  <c r="V20" i="5"/>
  <c r="D18" i="7"/>
  <c r="D27" i="7" s="1"/>
  <c r="R18" i="7"/>
  <c r="F22" i="7"/>
  <c r="V15" i="8"/>
  <c r="F29" i="8"/>
  <c r="L24" i="10"/>
  <c r="V24" i="14"/>
  <c r="V34" i="14"/>
  <c r="V22" i="14"/>
  <c r="V18" i="14"/>
  <c r="V21" i="14"/>
  <c r="V27" i="14"/>
  <c r="V20" i="14"/>
  <c r="V31" i="14"/>
  <c r="V16" i="14"/>
  <c r="Z12" i="14"/>
  <c r="X21" i="31"/>
  <c r="Z21" i="31"/>
  <c r="V15" i="4"/>
  <c r="R21" i="4"/>
  <c r="L25" i="4"/>
  <c r="R18" i="5"/>
  <c r="V22" i="5"/>
  <c r="X12" i="7"/>
  <c r="F15" i="7"/>
  <c r="V18" i="7"/>
  <c r="L12" i="8"/>
  <c r="D18" i="8"/>
  <c r="D27" i="8" s="1"/>
  <c r="R21" i="8"/>
  <c r="L25" i="8"/>
  <c r="F16" i="10"/>
  <c r="D18" i="10"/>
  <c r="D27" i="10" s="1"/>
  <c r="V20" i="10"/>
  <c r="X21" i="10"/>
  <c r="R22" i="10"/>
  <c r="F33" i="10"/>
  <c r="L34" i="10"/>
  <c r="R36" i="10"/>
  <c r="R34" i="11"/>
  <c r="R18" i="11"/>
  <c r="R33" i="11"/>
  <c r="R29" i="11"/>
  <c r="R25" i="11"/>
  <c r="R20" i="11"/>
  <c r="R15" i="11"/>
  <c r="R16" i="11"/>
  <c r="R36" i="11"/>
  <c r="F16" i="11"/>
  <c r="L25" i="35"/>
  <c r="N25" i="23"/>
  <c r="L25" i="23"/>
  <c r="L12" i="4"/>
  <c r="D18" i="4"/>
  <c r="D27" i="4" s="1"/>
  <c r="F25" i="4"/>
  <c r="X29" i="4"/>
  <c r="V33" i="4"/>
  <c r="F36" i="4"/>
  <c r="F16" i="5"/>
  <c r="L25" i="5"/>
  <c r="L33" i="5"/>
  <c r="L21" i="7"/>
  <c r="J22" i="7"/>
  <c r="X24" i="7"/>
  <c r="R18" i="8"/>
  <c r="F25" i="8"/>
  <c r="V33" i="8"/>
  <c r="F36" i="8"/>
  <c r="R18" i="10"/>
  <c r="R21" i="10"/>
  <c r="X24" i="10"/>
  <c r="J34" i="10"/>
  <c r="V36" i="10"/>
  <c r="V24" i="11"/>
  <c r="V34" i="11"/>
  <c r="V16" i="11"/>
  <c r="V31" i="11"/>
  <c r="V27" i="11"/>
  <c r="V22" i="11"/>
  <c r="L15" i="11"/>
  <c r="V20" i="11"/>
  <c r="J36" i="25"/>
  <c r="J18" i="25"/>
  <c r="X21" i="25"/>
  <c r="N13" i="28"/>
  <c r="L13" i="28"/>
  <c r="L25" i="29"/>
  <c r="X20" i="31"/>
  <c r="L33" i="32"/>
  <c r="L21" i="17"/>
  <c r="N21" i="17"/>
  <c r="J21" i="34"/>
  <c r="V15" i="13"/>
  <c r="F20" i="13"/>
  <c r="F33" i="13"/>
  <c r="F31" i="14"/>
  <c r="F34" i="14"/>
  <c r="T18" i="17"/>
  <c r="T27" i="17" s="1"/>
  <c r="Z27" i="17" s="1"/>
  <c r="J24" i="17"/>
  <c r="J25" i="17"/>
  <c r="L13" i="19"/>
  <c r="R15" i="19"/>
  <c r="F27" i="19"/>
  <c r="J27" i="20"/>
  <c r="R36" i="20"/>
  <c r="X21" i="22"/>
  <c r="R15" i="23"/>
  <c r="R16" i="23"/>
  <c r="R24" i="23"/>
  <c r="R20" i="25"/>
  <c r="F24" i="25"/>
  <c r="V21" i="26"/>
  <c r="F18" i="28"/>
  <c r="X20" i="28"/>
  <c r="F15" i="32"/>
  <c r="D18" i="32"/>
  <c r="L22" i="32"/>
  <c r="F24" i="32"/>
  <c r="D18" i="34"/>
  <c r="D27" i="34" s="1"/>
  <c r="D31" i="34" s="1"/>
  <c r="X21" i="34"/>
  <c r="X22" i="34"/>
  <c r="R24" i="34"/>
  <c r="F33" i="34"/>
  <c r="V36" i="34"/>
  <c r="F22" i="35"/>
  <c r="N21" i="47"/>
  <c r="L34" i="53"/>
  <c r="V16" i="13"/>
  <c r="L25" i="13"/>
  <c r="F29" i="13"/>
  <c r="X21" i="14"/>
  <c r="F27" i="14"/>
  <c r="L29" i="16"/>
  <c r="Z12" i="17"/>
  <c r="V15" i="17"/>
  <c r="X16" i="17"/>
  <c r="V18" i="17"/>
  <c r="V20" i="17"/>
  <c r="X21" i="17"/>
  <c r="X25" i="17"/>
  <c r="J29" i="17"/>
  <c r="J33" i="17"/>
  <c r="P18" i="19"/>
  <c r="P27" i="19" s="1"/>
  <c r="F24" i="19"/>
  <c r="R15" i="20"/>
  <c r="J31" i="20"/>
  <c r="V34" i="22"/>
  <c r="R20" i="23"/>
  <c r="R16" i="25"/>
  <c r="J25" i="26"/>
  <c r="J29" i="26"/>
  <c r="J33" i="26"/>
  <c r="N12" i="28"/>
  <c r="R18" i="28"/>
  <c r="Z20" i="28"/>
  <c r="N24" i="28"/>
  <c r="L12" i="29"/>
  <c r="V15" i="29"/>
  <c r="D18" i="29"/>
  <c r="D27" i="29" s="1"/>
  <c r="P18" i="31"/>
  <c r="L21" i="31"/>
  <c r="L22" i="31"/>
  <c r="R25" i="31"/>
  <c r="F18" i="32"/>
  <c r="N22" i="32"/>
  <c r="F25" i="32"/>
  <c r="F18" i="34"/>
  <c r="R20" i="34"/>
  <c r="R21" i="34"/>
  <c r="R22" i="34"/>
  <c r="X25" i="34"/>
  <c r="X13" i="37"/>
  <c r="L16" i="37"/>
  <c r="X20" i="37"/>
  <c r="V22" i="37"/>
  <c r="X20" i="38"/>
  <c r="R21" i="46"/>
  <c r="R24" i="46"/>
  <c r="R22" i="46"/>
  <c r="R15" i="46"/>
  <c r="Z15" i="50"/>
  <c r="X15" i="50"/>
  <c r="X29" i="97"/>
  <c r="L24" i="11"/>
  <c r="Z12" i="13"/>
  <c r="L20" i="13"/>
  <c r="L22" i="13"/>
  <c r="F25" i="13"/>
  <c r="X15" i="14"/>
  <c r="X22" i="14"/>
  <c r="J18" i="16"/>
  <c r="L22" i="16"/>
  <c r="R25" i="16"/>
  <c r="J34" i="16"/>
  <c r="R22" i="17"/>
  <c r="X13" i="19"/>
  <c r="R18" i="19"/>
  <c r="F22" i="19"/>
  <c r="L25" i="19"/>
  <c r="J25" i="20"/>
  <c r="N12" i="23"/>
  <c r="X29" i="25"/>
  <c r="L34" i="25"/>
  <c r="X13" i="26"/>
  <c r="H18" i="26"/>
  <c r="H27" i="26" s="1"/>
  <c r="J36" i="26"/>
  <c r="L15" i="28"/>
  <c r="V18" i="28"/>
  <c r="J22" i="28"/>
  <c r="F15" i="29"/>
  <c r="H18" i="29"/>
  <c r="H27" i="29" s="1"/>
  <c r="H31" i="29" s="1"/>
  <c r="H36" i="29" s="1"/>
  <c r="N36" i="29" s="1"/>
  <c r="X29" i="29"/>
  <c r="X12" i="31"/>
  <c r="V18" i="31"/>
  <c r="R29" i="31"/>
  <c r="L13" i="32"/>
  <c r="J18" i="32"/>
  <c r="J24" i="32"/>
  <c r="X12" i="34"/>
  <c r="F15" i="34"/>
  <c r="F16" i="34"/>
  <c r="R18" i="34"/>
  <c r="R16" i="35"/>
  <c r="L34" i="40"/>
  <c r="F18" i="41"/>
  <c r="F24" i="41"/>
  <c r="F21" i="41"/>
  <c r="N20" i="47"/>
  <c r="L20" i="47"/>
  <c r="F15" i="53"/>
  <c r="V34" i="97"/>
  <c r="V36" i="97"/>
  <c r="V33" i="97"/>
  <c r="V16" i="97"/>
  <c r="V29" i="97"/>
  <c r="V22" i="97"/>
  <c r="V21" i="97"/>
  <c r="Z12" i="97"/>
  <c r="T18" i="97"/>
  <c r="T27" i="97" s="1"/>
  <c r="V15" i="97"/>
  <c r="V20" i="97"/>
  <c r="P18" i="11"/>
  <c r="P27" i="11" s="1"/>
  <c r="N24" i="11"/>
  <c r="F15" i="13"/>
  <c r="F16" i="13"/>
  <c r="X29" i="13"/>
  <c r="R33" i="13"/>
  <c r="R18" i="14"/>
  <c r="P18" i="16"/>
  <c r="P27" i="16" s="1"/>
  <c r="R29" i="16"/>
  <c r="V16" i="17"/>
  <c r="F20" i="17"/>
  <c r="V21" i="17"/>
  <c r="V25" i="17"/>
  <c r="N24" i="19"/>
  <c r="H18" i="20"/>
  <c r="H27" i="20" s="1"/>
  <c r="H31" i="20" s="1"/>
  <c r="J29" i="20"/>
  <c r="J18" i="23"/>
  <c r="F24" i="23"/>
  <c r="R15" i="25"/>
  <c r="F21" i="26"/>
  <c r="L20" i="28"/>
  <c r="R24" i="28"/>
  <c r="T18" i="29"/>
  <c r="V25" i="29"/>
  <c r="R33" i="31"/>
  <c r="X16" i="32"/>
  <c r="V20" i="32"/>
  <c r="Z12" i="34"/>
  <c r="T18" i="34"/>
  <c r="T27" i="34" s="1"/>
  <c r="T31" i="34" s="1"/>
  <c r="V22" i="34"/>
  <c r="V25" i="34"/>
  <c r="X33" i="34"/>
  <c r="X15" i="35"/>
  <c r="R20" i="35"/>
  <c r="L25" i="49"/>
  <c r="Z25" i="50"/>
  <c r="X25" i="50"/>
  <c r="X16" i="11"/>
  <c r="X25" i="11"/>
  <c r="X29" i="11"/>
  <c r="X33" i="11"/>
  <c r="D18" i="13"/>
  <c r="D27" i="13" s="1"/>
  <c r="R20" i="13"/>
  <c r="X25" i="13"/>
  <c r="R29" i="13"/>
  <c r="L25" i="14"/>
  <c r="R33" i="16"/>
  <c r="F15" i="17"/>
  <c r="V29" i="17"/>
  <c r="V33" i="17"/>
  <c r="J36" i="17"/>
  <c r="X21" i="19"/>
  <c r="R33" i="19"/>
  <c r="R36" i="19"/>
  <c r="J18" i="20"/>
  <c r="L22" i="20"/>
  <c r="X25" i="20"/>
  <c r="J33" i="20"/>
  <c r="J34" i="20"/>
  <c r="X12" i="22"/>
  <c r="F27" i="22"/>
  <c r="F31" i="22"/>
  <c r="R18" i="23"/>
  <c r="X13" i="25"/>
  <c r="R18" i="25"/>
  <c r="L16" i="26"/>
  <c r="F20" i="26"/>
  <c r="J15" i="29"/>
  <c r="V29" i="29"/>
  <c r="F36" i="29"/>
  <c r="F20" i="32"/>
  <c r="X24" i="32"/>
  <c r="X25" i="32"/>
  <c r="L20" i="34"/>
  <c r="F27" i="34"/>
  <c r="V29" i="34"/>
  <c r="X13" i="35"/>
  <c r="R15" i="35"/>
  <c r="F22" i="37"/>
  <c r="L13" i="38"/>
  <c r="X16" i="38"/>
  <c r="F21" i="40"/>
  <c r="F34" i="40"/>
  <c r="F31" i="40"/>
  <c r="N16" i="43"/>
  <c r="L16" i="43"/>
  <c r="V18" i="97"/>
  <c r="Z22" i="97"/>
  <c r="X22" i="97"/>
  <c r="X21" i="11"/>
  <c r="P18" i="13"/>
  <c r="R18" i="13"/>
  <c r="R22" i="13"/>
  <c r="X24" i="13"/>
  <c r="R25" i="13"/>
  <c r="V33" i="13"/>
  <c r="F36" i="13"/>
  <c r="L16" i="14"/>
  <c r="L20" i="14"/>
  <c r="L24" i="14"/>
  <c r="X33" i="14"/>
  <c r="L12" i="17"/>
  <c r="F16" i="17"/>
  <c r="F18" i="17"/>
  <c r="F21" i="17"/>
  <c r="V36" i="17"/>
  <c r="R21" i="19"/>
  <c r="X22" i="19"/>
  <c r="R24" i="19"/>
  <c r="R29" i="19"/>
  <c r="P18" i="20"/>
  <c r="P27" i="20" s="1"/>
  <c r="X24" i="20"/>
  <c r="R25" i="20"/>
  <c r="J21" i="22"/>
  <c r="V27" i="22"/>
  <c r="V31" i="22"/>
  <c r="F34" i="22"/>
  <c r="L20" i="23"/>
  <c r="L20" i="25"/>
  <c r="X22" i="25"/>
  <c r="F16" i="26"/>
  <c r="R15" i="28"/>
  <c r="R16" i="28"/>
  <c r="R21" i="29"/>
  <c r="F25" i="29"/>
  <c r="V33" i="29"/>
  <c r="V36" i="29"/>
  <c r="L13" i="34"/>
  <c r="X15" i="34"/>
  <c r="F20" i="34"/>
  <c r="L24" i="34"/>
  <c r="F31" i="34"/>
  <c r="X33" i="35"/>
  <c r="R18" i="37"/>
  <c r="L24" i="38"/>
  <c r="L15" i="41"/>
  <c r="J20" i="47"/>
  <c r="N12" i="47"/>
  <c r="J21" i="47"/>
  <c r="L34" i="47"/>
  <c r="N34" i="47"/>
  <c r="R29" i="52"/>
  <c r="R20" i="52"/>
  <c r="R16" i="52"/>
  <c r="V25" i="97"/>
  <c r="L16" i="11"/>
  <c r="Z20" i="11"/>
  <c r="L12" i="13"/>
  <c r="R16" i="13"/>
  <c r="R21" i="13"/>
  <c r="V25" i="13"/>
  <c r="L34" i="13"/>
  <c r="X12" i="14"/>
  <c r="L15" i="14"/>
  <c r="X16" i="14"/>
  <c r="J20" i="14"/>
  <c r="F22" i="14"/>
  <c r="J31" i="16"/>
  <c r="J22" i="17"/>
  <c r="X20" i="19"/>
  <c r="F31" i="19"/>
  <c r="R33" i="20"/>
  <c r="P18" i="23"/>
  <c r="X22" i="26"/>
  <c r="R20" i="28"/>
  <c r="F33" i="29"/>
  <c r="X13" i="31"/>
  <c r="R15" i="31"/>
  <c r="L29" i="31"/>
  <c r="L34" i="31"/>
  <c r="F16" i="32"/>
  <c r="F21" i="32"/>
  <c r="F22" i="32"/>
  <c r="L12" i="34"/>
  <c r="V15" i="34"/>
  <c r="F29" i="34"/>
  <c r="F34" i="34"/>
  <c r="F36" i="34"/>
  <c r="R18" i="35"/>
  <c r="L20" i="37"/>
  <c r="X21" i="37"/>
  <c r="F27" i="40"/>
  <c r="H18" i="41"/>
  <c r="F36" i="46"/>
  <c r="F18" i="46"/>
  <c r="F16" i="46"/>
  <c r="F20" i="46"/>
  <c r="R18" i="47"/>
  <c r="R21" i="47"/>
  <c r="X12" i="47"/>
  <c r="V21" i="49"/>
  <c r="L22" i="52"/>
  <c r="N22" i="52"/>
  <c r="F27" i="53"/>
  <c r="L12" i="53"/>
  <c r="F22" i="53"/>
  <c r="F29" i="53"/>
  <c r="F31" i="53"/>
  <c r="V18" i="38"/>
  <c r="L21" i="38"/>
  <c r="J18" i="41"/>
  <c r="L22" i="43"/>
  <c r="F29" i="43"/>
  <c r="L33" i="43"/>
  <c r="R36" i="43"/>
  <c r="L24" i="44"/>
  <c r="R29" i="44"/>
  <c r="L20" i="46"/>
  <c r="L12" i="47"/>
  <c r="J27" i="49"/>
  <c r="J36" i="49"/>
  <c r="R22" i="50"/>
  <c r="R24" i="50"/>
  <c r="L25" i="52"/>
  <c r="Z12" i="53"/>
  <c r="V18" i="53"/>
  <c r="V22" i="53"/>
  <c r="L29" i="53"/>
  <c r="V33" i="53"/>
  <c r="F15" i="96"/>
  <c r="H18" i="96"/>
  <c r="H27" i="96" s="1"/>
  <c r="L34" i="96"/>
  <c r="N12" i="97"/>
  <c r="H18" i="97"/>
  <c r="N18" i="97" s="1"/>
  <c r="X20" i="97"/>
  <c r="J22" i="97"/>
  <c r="J29" i="97"/>
  <c r="L34" i="97"/>
  <c r="P18" i="98"/>
  <c r="X18" i="98" s="1"/>
  <c r="R21" i="98"/>
  <c r="L25" i="37"/>
  <c r="X29" i="37"/>
  <c r="L15" i="38"/>
  <c r="J21" i="40"/>
  <c r="J36" i="41"/>
  <c r="P18" i="43"/>
  <c r="P27" i="43" s="1"/>
  <c r="F33" i="43"/>
  <c r="V36" i="43"/>
  <c r="L16" i="44"/>
  <c r="N12" i="46"/>
  <c r="J24" i="46"/>
  <c r="V15" i="47"/>
  <c r="X29" i="47"/>
  <c r="X34" i="47"/>
  <c r="L13" i="49"/>
  <c r="X22" i="49"/>
  <c r="J31" i="49"/>
  <c r="V16" i="50"/>
  <c r="F22" i="52"/>
  <c r="F25" i="52"/>
  <c r="J16" i="53"/>
  <c r="V31" i="53"/>
  <c r="J18" i="96"/>
  <c r="J33" i="96"/>
  <c r="F34" i="96"/>
  <c r="X21" i="97"/>
  <c r="X24" i="97"/>
  <c r="J33" i="97"/>
  <c r="N34" i="97"/>
  <c r="R18" i="98"/>
  <c r="V22" i="98"/>
  <c r="L24" i="37"/>
  <c r="L33" i="37"/>
  <c r="X21" i="38"/>
  <c r="X22" i="40"/>
  <c r="J15" i="41"/>
  <c r="X20" i="41"/>
  <c r="L12" i="43"/>
  <c r="V16" i="43"/>
  <c r="X21" i="43"/>
  <c r="R22" i="43"/>
  <c r="R25" i="43"/>
  <c r="X34" i="43"/>
  <c r="L13" i="44"/>
  <c r="R15" i="44"/>
  <c r="R16" i="44"/>
  <c r="R20" i="44"/>
  <c r="R22" i="44"/>
  <c r="V16" i="46"/>
  <c r="D18" i="47"/>
  <c r="D27" i="47" s="1"/>
  <c r="F27" i="47"/>
  <c r="V29" i="47"/>
  <c r="V34" i="47"/>
  <c r="J25" i="49"/>
  <c r="J29" i="49"/>
  <c r="L16" i="50"/>
  <c r="V18" i="50"/>
  <c r="L33" i="52"/>
  <c r="R15" i="53"/>
  <c r="J20" i="53"/>
  <c r="X25" i="53"/>
  <c r="V36" i="53"/>
  <c r="L20" i="96"/>
  <c r="F21" i="96"/>
  <c r="L24" i="96"/>
  <c r="F25" i="96"/>
  <c r="L15" i="97"/>
  <c r="V15" i="43"/>
  <c r="D18" i="43"/>
  <c r="D27" i="43" s="1"/>
  <c r="R21" i="43"/>
  <c r="R29" i="43"/>
  <c r="X16" i="44"/>
  <c r="X20" i="44"/>
  <c r="Z12" i="46"/>
  <c r="F15" i="47"/>
  <c r="F16" i="47"/>
  <c r="T18" i="47"/>
  <c r="V20" i="47"/>
  <c r="L25" i="47"/>
  <c r="V27" i="47"/>
  <c r="F31" i="47"/>
  <c r="V33" i="47"/>
  <c r="J33" i="49"/>
  <c r="J34" i="49"/>
  <c r="F16" i="50"/>
  <c r="X21" i="52"/>
  <c r="X24" i="53"/>
  <c r="R25" i="53"/>
  <c r="F22" i="96"/>
  <c r="F24" i="96"/>
  <c r="F27" i="96"/>
  <c r="F15" i="97"/>
  <c r="F20" i="97"/>
  <c r="X13" i="98"/>
  <c r="R15" i="98"/>
  <c r="R16" i="98"/>
  <c r="L24" i="41"/>
  <c r="L15" i="43"/>
  <c r="R18" i="43"/>
  <c r="V20" i="43"/>
  <c r="V22" i="43"/>
  <c r="V25" i="43"/>
  <c r="R33" i="43"/>
  <c r="V34" i="43"/>
  <c r="Z16" i="44"/>
  <c r="Z20" i="44"/>
  <c r="V22" i="44"/>
  <c r="X33" i="44"/>
  <c r="L16" i="46"/>
  <c r="Z12" i="47"/>
  <c r="V18" i="47"/>
  <c r="F25" i="47"/>
  <c r="L29" i="47"/>
  <c r="V31" i="47"/>
  <c r="F36" i="47"/>
  <c r="H18" i="49"/>
  <c r="N18" i="49" s="1"/>
  <c r="F21" i="49"/>
  <c r="X25" i="49"/>
  <c r="J15" i="50"/>
  <c r="F20" i="50"/>
  <c r="J22" i="50"/>
  <c r="J24" i="50"/>
  <c r="L29" i="52"/>
  <c r="J33" i="52"/>
  <c r="V36" i="52"/>
  <c r="V15" i="53"/>
  <c r="V16" i="53"/>
  <c r="X21" i="53"/>
  <c r="R29" i="53"/>
  <c r="X33" i="53"/>
  <c r="J21" i="96"/>
  <c r="J25" i="96"/>
  <c r="R34" i="96"/>
  <c r="L21" i="97"/>
  <c r="F25" i="97"/>
  <c r="L29" i="97"/>
  <c r="F36" i="97"/>
  <c r="D18" i="98"/>
  <c r="D27" i="98" s="1"/>
  <c r="F22" i="98"/>
  <c r="X24" i="37"/>
  <c r="L29" i="37"/>
  <c r="X33" i="37"/>
  <c r="L22" i="38"/>
  <c r="J18" i="40"/>
  <c r="N12" i="41"/>
  <c r="X13" i="41"/>
  <c r="J25" i="41"/>
  <c r="J29" i="41"/>
  <c r="J33" i="41"/>
  <c r="X12" i="43"/>
  <c r="F15" i="43"/>
  <c r="T18" i="43"/>
  <c r="T27" i="43" s="1"/>
  <c r="Z27" i="43" s="1"/>
  <c r="V27" i="43"/>
  <c r="V29" i="43"/>
  <c r="R18" i="44"/>
  <c r="L22" i="44"/>
  <c r="L25" i="44"/>
  <c r="R33" i="44"/>
  <c r="V20" i="46"/>
  <c r="X29" i="46"/>
  <c r="F29" i="47"/>
  <c r="F34" i="47"/>
  <c r="V36" i="47"/>
  <c r="L20" i="49"/>
  <c r="X29" i="49"/>
  <c r="L34" i="50"/>
  <c r="F18" i="52"/>
  <c r="V22" i="52"/>
  <c r="F29" i="52"/>
  <c r="X33" i="52"/>
  <c r="R18" i="53"/>
  <c r="V20" i="53"/>
  <c r="R21" i="53"/>
  <c r="R22" i="53"/>
  <c r="V25" i="53"/>
  <c r="R33" i="53"/>
  <c r="F31" i="96"/>
  <c r="J15" i="97"/>
  <c r="F16" i="97"/>
  <c r="D18" i="97"/>
  <c r="F21" i="97"/>
  <c r="F22" i="97"/>
  <c r="L24" i="97"/>
  <c r="F29" i="97"/>
  <c r="J36" i="97"/>
  <c r="V15" i="98"/>
  <c r="D18" i="96"/>
  <c r="F18" i="96"/>
  <c r="R20" i="96"/>
  <c r="J29" i="96"/>
  <c r="J36" i="96"/>
  <c r="L12" i="97"/>
  <c r="F18" i="97"/>
  <c r="J25" i="97"/>
  <c r="F33" i="97"/>
  <c r="R20" i="98"/>
  <c r="N50" i="3"/>
  <c r="Z66" i="3"/>
  <c r="Z123" i="3"/>
  <c r="N143" i="3"/>
  <c r="N14" i="3"/>
  <c r="Z42" i="3"/>
  <c r="N74" i="3"/>
  <c r="Z149" i="3"/>
  <c r="Z26" i="3"/>
  <c r="Z32" i="3"/>
  <c r="N38" i="3"/>
  <c r="N61" i="3"/>
  <c r="Z62" i="3"/>
  <c r="N77" i="3"/>
  <c r="Z78" i="3"/>
  <c r="Z81" i="3"/>
  <c r="Z179" i="3"/>
  <c r="V213" i="3"/>
  <c r="V207" i="3"/>
  <c r="V203" i="3"/>
  <c r="V195" i="3"/>
  <c r="V191" i="3"/>
  <c r="V187" i="3"/>
  <c r="V171" i="3"/>
  <c r="V163" i="3"/>
  <c r="V159" i="3"/>
  <c r="V151" i="3"/>
  <c r="V147" i="3"/>
  <c r="V135" i="3"/>
  <c r="V131" i="3"/>
  <c r="V115" i="3"/>
  <c r="V107" i="3"/>
  <c r="V99" i="3"/>
  <c r="V91" i="3"/>
  <c r="V83" i="3"/>
  <c r="V204" i="3"/>
  <c r="V168" i="3"/>
  <c r="V148" i="3"/>
  <c r="V92" i="3"/>
  <c r="V216" i="3"/>
  <c r="V210" i="3"/>
  <c r="V206" i="3"/>
  <c r="V194" i="3"/>
  <c r="V190" i="3"/>
  <c r="V186" i="3"/>
  <c r="V182" i="3"/>
  <c r="V178" i="3"/>
  <c r="V174" i="3"/>
  <c r="V162" i="3"/>
  <c r="V154" i="3"/>
  <c r="V150" i="3"/>
  <c r="V142" i="3"/>
  <c r="V130" i="3"/>
  <c r="T121" i="3"/>
  <c r="V114" i="3"/>
  <c r="V106" i="3"/>
  <c r="V98" i="3"/>
  <c r="V90" i="3"/>
  <c r="V124" i="3"/>
  <c r="V116" i="3"/>
  <c r="V84" i="3"/>
  <c r="V228" i="3"/>
  <c r="V219" i="3"/>
  <c r="V209" i="3"/>
  <c r="V205" i="3"/>
  <c r="V193" i="3"/>
  <c r="V189" i="3"/>
  <c r="V185" i="3"/>
  <c r="V181" i="3"/>
  <c r="V177" i="3"/>
  <c r="V173" i="3"/>
  <c r="V165" i="3"/>
  <c r="V153" i="3"/>
  <c r="V149" i="3"/>
  <c r="V141" i="3"/>
  <c r="V129" i="3"/>
  <c r="V113" i="3"/>
  <c r="V105" i="3"/>
  <c r="V97" i="3"/>
  <c r="V89" i="3"/>
  <c r="V208" i="3"/>
  <c r="V160" i="3"/>
  <c r="V108" i="3"/>
  <c r="V100" i="3"/>
  <c r="V214" i="3"/>
  <c r="V192" i="3"/>
  <c r="V184" i="3"/>
  <c r="V180" i="3"/>
  <c r="V176" i="3"/>
  <c r="V164" i="3"/>
  <c r="V156" i="3"/>
  <c r="V152" i="3"/>
  <c r="V144" i="3"/>
  <c r="V140" i="3"/>
  <c r="V128" i="3"/>
  <c r="V112" i="3"/>
  <c r="V104" i="3"/>
  <c r="V96" i="3"/>
  <c r="V88" i="3"/>
  <c r="V218" i="3"/>
  <c r="V188" i="3"/>
  <c r="V217" i="3"/>
  <c r="V199" i="3"/>
  <c r="V183" i="3"/>
  <c r="V179" i="3"/>
  <c r="V175" i="3"/>
  <c r="V167" i="3"/>
  <c r="V155" i="3"/>
  <c r="V143" i="3"/>
  <c r="V139" i="3"/>
  <c r="V127" i="3"/>
  <c r="V123" i="3"/>
  <c r="V119" i="3"/>
  <c r="V111" i="3"/>
  <c r="V103" i="3"/>
  <c r="V95" i="3"/>
  <c r="V87" i="3"/>
  <c r="V200" i="3"/>
  <c r="V196" i="3"/>
  <c r="V202" i="3"/>
  <c r="V198" i="3"/>
  <c r="V170" i="3"/>
  <c r="V166" i="3"/>
  <c r="V158" i="3"/>
  <c r="V146" i="3"/>
  <c r="V138" i="3"/>
  <c r="V134" i="3"/>
  <c r="V126" i="3"/>
  <c r="V118" i="3"/>
  <c r="V110" i="3"/>
  <c r="V102" i="3"/>
  <c r="V94" i="3"/>
  <c r="V86" i="3"/>
  <c r="V136" i="3"/>
  <c r="V132" i="3"/>
  <c r="V227" i="3"/>
  <c r="V223" i="3"/>
  <c r="V215" i="3"/>
  <c r="V201" i="3"/>
  <c r="V197" i="3"/>
  <c r="V169" i="3"/>
  <c r="V161" i="3"/>
  <c r="V157" i="3"/>
  <c r="V145" i="3"/>
  <c r="V137" i="3"/>
  <c r="V133" i="3"/>
  <c r="V125" i="3"/>
  <c r="V117" i="3"/>
  <c r="V109" i="3"/>
  <c r="V101" i="3"/>
  <c r="V93" i="3"/>
  <c r="V85" i="3"/>
  <c r="V172" i="3"/>
  <c r="D26" i="6"/>
  <c r="R227" i="3"/>
  <c r="R215" i="3"/>
  <c r="R208" i="3"/>
  <c r="R204" i="3"/>
  <c r="R196" i="3"/>
  <c r="R188" i="3"/>
  <c r="R172" i="3"/>
  <c r="R160" i="3"/>
  <c r="R157" i="3"/>
  <c r="R148" i="3"/>
  <c r="R145" i="3"/>
  <c r="R136" i="3"/>
  <c r="R132" i="3"/>
  <c r="R116" i="3"/>
  <c r="R108" i="3"/>
  <c r="R100" i="3"/>
  <c r="R92" i="3"/>
  <c r="R84" i="3"/>
  <c r="X12" i="3"/>
  <c r="Z12" i="3" s="1"/>
  <c r="R223" i="3"/>
  <c r="R197" i="3"/>
  <c r="R85" i="3"/>
  <c r="R218" i="3"/>
  <c r="R207" i="3"/>
  <c r="R200" i="3"/>
  <c r="R195" i="3"/>
  <c r="R191" i="3"/>
  <c r="R187" i="3"/>
  <c r="R168" i="3"/>
  <c r="R163" i="3"/>
  <c r="R151" i="3"/>
  <c r="R131" i="3"/>
  <c r="R124" i="3"/>
  <c r="R115" i="3"/>
  <c r="R107" i="3"/>
  <c r="R99" i="3"/>
  <c r="R91" i="3"/>
  <c r="R133" i="3"/>
  <c r="R93" i="3"/>
  <c r="R213" i="3"/>
  <c r="R210" i="3"/>
  <c r="R206" i="3"/>
  <c r="R203" i="3"/>
  <c r="R194" i="3"/>
  <c r="R190" i="3"/>
  <c r="R186" i="3"/>
  <c r="R182" i="3"/>
  <c r="R178" i="3"/>
  <c r="R174" i="3"/>
  <c r="R171" i="3"/>
  <c r="R159" i="3"/>
  <c r="R154" i="3"/>
  <c r="R150" i="3"/>
  <c r="R147" i="3"/>
  <c r="R142" i="3"/>
  <c r="R135" i="3"/>
  <c r="R130" i="3"/>
  <c r="R114" i="3"/>
  <c r="R106" i="3"/>
  <c r="R98" i="3"/>
  <c r="R90" i="3"/>
  <c r="R83" i="3"/>
  <c r="R212" i="3"/>
  <c r="R201" i="3"/>
  <c r="R137" i="3"/>
  <c r="R216" i="3"/>
  <c r="R193" i="3"/>
  <c r="R185" i="3"/>
  <c r="R181" i="3"/>
  <c r="R177" i="3"/>
  <c r="R165" i="3"/>
  <c r="R162" i="3"/>
  <c r="R153" i="3"/>
  <c r="R141" i="3"/>
  <c r="R129" i="3"/>
  <c r="P121" i="3"/>
  <c r="R121" i="3" s="1"/>
  <c r="R113" i="3"/>
  <c r="R105" i="3"/>
  <c r="R97" i="3"/>
  <c r="R89" i="3"/>
  <c r="R125" i="3"/>
  <c r="R117" i="3"/>
  <c r="R109" i="3"/>
  <c r="R101" i="3"/>
  <c r="R228" i="3"/>
  <c r="R219" i="3"/>
  <c r="R209" i="3"/>
  <c r="R205" i="3"/>
  <c r="R189" i="3"/>
  <c r="R184" i="3"/>
  <c r="R180" i="3"/>
  <c r="R176" i="3"/>
  <c r="R173" i="3"/>
  <c r="R156" i="3"/>
  <c r="R149" i="3"/>
  <c r="R144" i="3"/>
  <c r="R140" i="3"/>
  <c r="R128" i="3"/>
  <c r="R112" i="3"/>
  <c r="R104" i="3"/>
  <c r="R96" i="3"/>
  <c r="R88" i="3"/>
  <c r="R169" i="3"/>
  <c r="R166" i="3"/>
  <c r="R214" i="3"/>
  <c r="R199" i="3"/>
  <c r="R192" i="3"/>
  <c r="R167" i="3"/>
  <c r="R164" i="3"/>
  <c r="R152" i="3"/>
  <c r="R139" i="3"/>
  <c r="R127" i="3"/>
  <c r="R119" i="3"/>
  <c r="R111" i="3"/>
  <c r="R103" i="3"/>
  <c r="R95" i="3"/>
  <c r="R87" i="3"/>
  <c r="R161" i="3"/>
  <c r="R217" i="3"/>
  <c r="R202" i="3"/>
  <c r="R198" i="3"/>
  <c r="R183" i="3"/>
  <c r="R179" i="3"/>
  <c r="R175" i="3"/>
  <c r="R170" i="3"/>
  <c r="R158" i="3"/>
  <c r="R155" i="3"/>
  <c r="R146" i="3"/>
  <c r="R143" i="3"/>
  <c r="R138" i="3"/>
  <c r="R134" i="3"/>
  <c r="R126" i="3"/>
  <c r="R123" i="3"/>
  <c r="R118" i="3"/>
  <c r="R110" i="3"/>
  <c r="R102" i="3"/>
  <c r="R94" i="3"/>
  <c r="R86" i="3"/>
  <c r="N37" i="3"/>
  <c r="Z41" i="3"/>
  <c r="N46" i="3"/>
  <c r="Z65" i="3"/>
  <c r="N70" i="3"/>
  <c r="N147" i="3"/>
  <c r="T26" i="6"/>
  <c r="Z22" i="6"/>
  <c r="N21" i="3"/>
  <c r="Z25" i="3"/>
  <c r="Z58" i="3"/>
  <c r="T77" i="9"/>
  <c r="Z16" i="9"/>
  <c r="J228" i="3"/>
  <c r="J219" i="3"/>
  <c r="J209" i="3"/>
  <c r="J205" i="3"/>
  <c r="J199" i="3"/>
  <c r="J189" i="3"/>
  <c r="J173" i="3"/>
  <c r="J167" i="3"/>
  <c r="J149" i="3"/>
  <c r="J139" i="3"/>
  <c r="J127" i="3"/>
  <c r="J119" i="3"/>
  <c r="J111" i="3"/>
  <c r="J103" i="3"/>
  <c r="J95" i="3"/>
  <c r="J87" i="3"/>
  <c r="J112" i="3"/>
  <c r="J96" i="3"/>
  <c r="J88" i="3"/>
  <c r="J214" i="3"/>
  <c r="J202" i="3"/>
  <c r="J198" i="3"/>
  <c r="J192" i="3"/>
  <c r="J170" i="3"/>
  <c r="J164" i="3"/>
  <c r="J158" i="3"/>
  <c r="J152" i="3"/>
  <c r="J146" i="3"/>
  <c r="J138" i="3"/>
  <c r="J134" i="3"/>
  <c r="J126" i="3"/>
  <c r="J118" i="3"/>
  <c r="J110" i="3"/>
  <c r="J102" i="3"/>
  <c r="J94" i="3"/>
  <c r="J86" i="3"/>
  <c r="J184" i="3"/>
  <c r="J180" i="3"/>
  <c r="J223" i="3"/>
  <c r="J217" i="3"/>
  <c r="J201" i="3"/>
  <c r="J197" i="3"/>
  <c r="J183" i="3"/>
  <c r="J179" i="3"/>
  <c r="J175" i="3"/>
  <c r="J169" i="3"/>
  <c r="J161" i="3"/>
  <c r="J155" i="3"/>
  <c r="J143" i="3"/>
  <c r="J137" i="3"/>
  <c r="J133" i="3"/>
  <c r="J125" i="3"/>
  <c r="J123" i="3"/>
  <c r="J117" i="3"/>
  <c r="J109" i="3"/>
  <c r="J101" i="3"/>
  <c r="J93" i="3"/>
  <c r="J85" i="3"/>
  <c r="J216" i="3"/>
  <c r="J156" i="3"/>
  <c r="J140" i="3"/>
  <c r="J208" i="3"/>
  <c r="J204" i="3"/>
  <c r="J196" i="3"/>
  <c r="J188" i="3"/>
  <c r="J172" i="3"/>
  <c r="J166" i="3"/>
  <c r="J160" i="3"/>
  <c r="J148" i="3"/>
  <c r="J136" i="3"/>
  <c r="J132" i="3"/>
  <c r="J116" i="3"/>
  <c r="J108" i="3"/>
  <c r="J100" i="3"/>
  <c r="J92" i="3"/>
  <c r="J84" i="3"/>
  <c r="J227" i="3"/>
  <c r="J215" i="3"/>
  <c r="J207" i="3"/>
  <c r="J195" i="3"/>
  <c r="J191" i="3"/>
  <c r="J187" i="3"/>
  <c r="J163" i="3"/>
  <c r="J157" i="3"/>
  <c r="J151" i="3"/>
  <c r="J145" i="3"/>
  <c r="J131" i="3"/>
  <c r="J115" i="3"/>
  <c r="J107" i="3"/>
  <c r="J99" i="3"/>
  <c r="J91" i="3"/>
  <c r="J176" i="3"/>
  <c r="J162" i="3"/>
  <c r="J218" i="3"/>
  <c r="J210" i="3"/>
  <c r="J206" i="3"/>
  <c r="J200" i="3"/>
  <c r="J194" i="3"/>
  <c r="J190" i="3"/>
  <c r="J186" i="3"/>
  <c r="J182" i="3"/>
  <c r="J178" i="3"/>
  <c r="J174" i="3"/>
  <c r="J168" i="3"/>
  <c r="J154" i="3"/>
  <c r="J150" i="3"/>
  <c r="J142" i="3"/>
  <c r="J130" i="3"/>
  <c r="J124" i="3"/>
  <c r="J114" i="3"/>
  <c r="J106" i="3"/>
  <c r="J98" i="3"/>
  <c r="J90" i="3"/>
  <c r="J128" i="3"/>
  <c r="H121" i="3"/>
  <c r="J104" i="3"/>
  <c r="J213" i="3"/>
  <c r="J203" i="3"/>
  <c r="J193" i="3"/>
  <c r="J185" i="3"/>
  <c r="J181" i="3"/>
  <c r="J177" i="3"/>
  <c r="J171" i="3"/>
  <c r="J165" i="3"/>
  <c r="J159" i="3"/>
  <c r="J153" i="3"/>
  <c r="J147" i="3"/>
  <c r="J141" i="3"/>
  <c r="J135" i="3"/>
  <c r="J129" i="3"/>
  <c r="J121" i="3"/>
  <c r="J113" i="3"/>
  <c r="J105" i="3"/>
  <c r="J97" i="3"/>
  <c r="J89" i="3"/>
  <c r="J83" i="3"/>
  <c r="J144" i="3"/>
  <c r="N135" i="3"/>
  <c r="N159" i="3"/>
  <c r="N166" i="3"/>
  <c r="N171" i="3"/>
  <c r="N215" i="3"/>
  <c r="Z19" i="9"/>
  <c r="N36" i="3"/>
  <c r="N42" i="3"/>
  <c r="N66" i="3"/>
  <c r="N123" i="3"/>
  <c r="Z157" i="3"/>
  <c r="Z164" i="3"/>
  <c r="J186" i="15"/>
  <c r="J180" i="15"/>
  <c r="J170" i="15"/>
  <c r="J142" i="15"/>
  <c r="J136" i="15"/>
  <c r="J130" i="15"/>
  <c r="J124" i="15"/>
  <c r="J118" i="15"/>
  <c r="J157" i="15"/>
  <c r="J127" i="15"/>
  <c r="J123" i="15"/>
  <c r="J115" i="15"/>
  <c r="J176" i="15"/>
  <c r="J172" i="15"/>
  <c r="J166" i="15"/>
  <c r="J160" i="15"/>
  <c r="J152" i="15"/>
  <c r="J148" i="15"/>
  <c r="J144" i="15"/>
  <c r="J138" i="15"/>
  <c r="J132" i="15"/>
  <c r="J126" i="15"/>
  <c r="J120" i="15"/>
  <c r="J181" i="15"/>
  <c r="J169" i="15"/>
  <c r="J165" i="15"/>
  <c r="J141" i="15"/>
  <c r="J135" i="15"/>
  <c r="J129" i="15"/>
  <c r="J168" i="15"/>
  <c r="J164" i="15"/>
  <c r="J156" i="15"/>
  <c r="J140" i="15"/>
  <c r="J122" i="15"/>
  <c r="J175" i="15"/>
  <c r="J171" i="15"/>
  <c r="J163" i="15"/>
  <c r="J159" i="15"/>
  <c r="J155" i="15"/>
  <c r="J151" i="15"/>
  <c r="J147" i="15"/>
  <c r="J143" i="15"/>
  <c r="J137" i="15"/>
  <c r="J131" i="15"/>
  <c r="J125" i="15"/>
  <c r="J119" i="15"/>
  <c r="J111" i="15"/>
  <c r="J182" i="15"/>
  <c r="J174" i="15"/>
  <c r="J162" i="15"/>
  <c r="J158" i="15"/>
  <c r="J154" i="15"/>
  <c r="J150" i="15"/>
  <c r="J146" i="15"/>
  <c r="J134" i="15"/>
  <c r="J128" i="15"/>
  <c r="J177" i="15"/>
  <c r="J113" i="15"/>
  <c r="J106" i="15"/>
  <c r="J105" i="15"/>
  <c r="J89" i="15"/>
  <c r="J81" i="15"/>
  <c r="J73" i="15"/>
  <c r="J65" i="15"/>
  <c r="J149" i="15"/>
  <c r="J104" i="15"/>
  <c r="J88" i="15"/>
  <c r="J80" i="15"/>
  <c r="J72" i="15"/>
  <c r="J173" i="15"/>
  <c r="J116" i="15"/>
  <c r="J114" i="15"/>
  <c r="J103" i="15"/>
  <c r="J97" i="15"/>
  <c r="J87" i="15"/>
  <c r="J79" i="15"/>
  <c r="J71" i="15"/>
  <c r="J102" i="15"/>
  <c r="J86" i="15"/>
  <c r="J78" i="15"/>
  <c r="J70" i="15"/>
  <c r="J64" i="15"/>
  <c r="J161" i="15"/>
  <c r="J139" i="15"/>
  <c r="J117" i="15"/>
  <c r="J101" i="15"/>
  <c r="H94" i="15"/>
  <c r="J85" i="15"/>
  <c r="J77" i="15"/>
  <c r="J69" i="15"/>
  <c r="J153" i="15"/>
  <c r="J145" i="15"/>
  <c r="J121" i="15"/>
  <c r="J109" i="15"/>
  <c r="J108" i="15"/>
  <c r="J100" i="15"/>
  <c r="J92" i="15"/>
  <c r="J84" i="15"/>
  <c r="J76" i="15"/>
  <c r="J68" i="15"/>
  <c r="J110" i="15"/>
  <c r="J99" i="15"/>
  <c r="J91" i="15"/>
  <c r="J83" i="15"/>
  <c r="J75" i="15"/>
  <c r="J67" i="15"/>
  <c r="J107" i="15"/>
  <c r="J98" i="15"/>
  <c r="J133" i="15"/>
  <c r="J96" i="15"/>
  <c r="J66" i="15"/>
  <c r="J167" i="15"/>
  <c r="J74" i="15"/>
  <c r="J112" i="15"/>
  <c r="J90" i="15"/>
  <c r="J82" i="15"/>
  <c r="D12" i="3"/>
  <c r="X14" i="3"/>
  <c r="L18" i="3"/>
  <c r="X22" i="3"/>
  <c r="Z22" i="3" s="1"/>
  <c r="L26" i="3"/>
  <c r="N26" i="3" s="1"/>
  <c r="X30" i="3"/>
  <c r="Z30" i="3" s="1"/>
  <c r="L34" i="3"/>
  <c r="N34" i="3" s="1"/>
  <c r="X38" i="3"/>
  <c r="Z38" i="3" s="1"/>
  <c r="D212" i="3"/>
  <c r="T212" i="3"/>
  <c r="L216" i="3"/>
  <c r="N216" i="3" s="1"/>
  <c r="N12" i="4"/>
  <c r="F18" i="4"/>
  <c r="V18" i="4"/>
  <c r="J22" i="4"/>
  <c r="R24" i="4"/>
  <c r="L12" i="5"/>
  <c r="F15" i="5"/>
  <c r="V15" i="5"/>
  <c r="L16" i="5"/>
  <c r="D18" i="5"/>
  <c r="T18" i="5"/>
  <c r="R21" i="5"/>
  <c r="F25" i="5"/>
  <c r="V25" i="5"/>
  <c r="F29" i="5"/>
  <c r="V29" i="5"/>
  <c r="F33" i="5"/>
  <c r="V33" i="5"/>
  <c r="F36" i="5"/>
  <c r="V36" i="5"/>
  <c r="L12" i="6"/>
  <c r="X14" i="6"/>
  <c r="P16" i="6"/>
  <c r="X18" i="6"/>
  <c r="X28" i="6"/>
  <c r="Z28" i="6" s="1"/>
  <c r="J15" i="7"/>
  <c r="H18" i="7"/>
  <c r="F21" i="7"/>
  <c r="V21" i="7"/>
  <c r="L22" i="7"/>
  <c r="J25" i="7"/>
  <c r="R27" i="7"/>
  <c r="J29" i="7"/>
  <c r="R31" i="7"/>
  <c r="J33" i="7"/>
  <c r="R34" i="7"/>
  <c r="J36" i="7"/>
  <c r="N12" i="8"/>
  <c r="X15" i="8"/>
  <c r="F18" i="8"/>
  <c r="V18" i="8"/>
  <c r="J22" i="8"/>
  <c r="R24" i="8"/>
  <c r="X25" i="8"/>
  <c r="X29" i="8"/>
  <c r="X33" i="8"/>
  <c r="N12" i="9"/>
  <c r="J14" i="9"/>
  <c r="Z14" i="9"/>
  <c r="J18" i="9"/>
  <c r="J20" i="9"/>
  <c r="V23" i="9"/>
  <c r="J26" i="9"/>
  <c r="F31" i="9"/>
  <c r="F37" i="9"/>
  <c r="F42" i="9"/>
  <c r="F43" i="9"/>
  <c r="X51" i="9"/>
  <c r="Z51" i="9" s="1"/>
  <c r="F53" i="9"/>
  <c r="V57" i="9"/>
  <c r="F61" i="9"/>
  <c r="F72" i="9"/>
  <c r="Z17" i="12"/>
  <c r="Z33" i="12"/>
  <c r="N37" i="12"/>
  <c r="Z40" i="12"/>
  <c r="N97" i="12"/>
  <c r="Z117" i="12"/>
  <c r="X123" i="12"/>
  <c r="N140" i="12"/>
  <c r="X147" i="12"/>
  <c r="X175" i="12"/>
  <c r="Z184" i="12"/>
  <c r="X16" i="15"/>
  <c r="N19" i="15"/>
  <c r="X24" i="15"/>
  <c r="Z24" i="15" s="1"/>
  <c r="N27" i="15"/>
  <c r="X32" i="15"/>
  <c r="N35" i="15"/>
  <c r="X40" i="15"/>
  <c r="N43" i="15"/>
  <c r="N60" i="15"/>
  <c r="L83" i="3"/>
  <c r="N83" i="3" s="1"/>
  <c r="L147" i="3"/>
  <c r="X215" i="3"/>
  <c r="Z215" i="3" s="1"/>
  <c r="J15" i="4"/>
  <c r="H18" i="4"/>
  <c r="F21" i="4"/>
  <c r="V21" i="4"/>
  <c r="J25" i="4"/>
  <c r="R27" i="4"/>
  <c r="J29" i="4"/>
  <c r="R31" i="4"/>
  <c r="J33" i="4"/>
  <c r="R34" i="4"/>
  <c r="J36" i="4"/>
  <c r="N12" i="5"/>
  <c r="F18" i="5"/>
  <c r="V18" i="5"/>
  <c r="J22" i="5"/>
  <c r="R24" i="5"/>
  <c r="N12" i="6"/>
  <c r="J14" i="6"/>
  <c r="R16" i="6"/>
  <c r="J18" i="6"/>
  <c r="R20" i="6"/>
  <c r="J22" i="6"/>
  <c r="R26" i="6"/>
  <c r="J28" i="6"/>
  <c r="R29" i="6"/>
  <c r="J31" i="6"/>
  <c r="L15" i="7"/>
  <c r="R16" i="7"/>
  <c r="J18" i="7"/>
  <c r="R20" i="7"/>
  <c r="F24" i="7"/>
  <c r="V24" i="7"/>
  <c r="J15" i="8"/>
  <c r="H18" i="8"/>
  <c r="F21" i="8"/>
  <c r="V21" i="8"/>
  <c r="J25" i="8"/>
  <c r="R27" i="8"/>
  <c r="J29" i="8"/>
  <c r="R31" i="8"/>
  <c r="J33" i="8"/>
  <c r="R34" i="8"/>
  <c r="J36" i="8"/>
  <c r="R84" i="9"/>
  <c r="R77" i="9"/>
  <c r="R69" i="9"/>
  <c r="R52" i="9"/>
  <c r="R49" i="9"/>
  <c r="R61" i="9"/>
  <c r="R57" i="9"/>
  <c r="R33" i="9"/>
  <c r="R29" i="9"/>
  <c r="R81" i="9"/>
  <c r="R75" i="9"/>
  <c r="R68" i="9"/>
  <c r="R53" i="9"/>
  <c r="R48" i="9"/>
  <c r="R45" i="9"/>
  <c r="R40" i="9"/>
  <c r="R37" i="9"/>
  <c r="R32" i="9"/>
  <c r="R28" i="9"/>
  <c r="R20" i="9"/>
  <c r="R71" i="9"/>
  <c r="R67" i="9"/>
  <c r="R63" i="9"/>
  <c r="R60" i="9"/>
  <c r="R56" i="9"/>
  <c r="R31" i="9"/>
  <c r="R27" i="9"/>
  <c r="R70" i="9"/>
  <c r="R66" i="9"/>
  <c r="R50" i="9"/>
  <c r="R47" i="9"/>
  <c r="R42" i="9"/>
  <c r="R39" i="9"/>
  <c r="R26" i="9"/>
  <c r="D16" i="9"/>
  <c r="R19" i="9"/>
  <c r="R21" i="9"/>
  <c r="V22" i="9"/>
  <c r="J25" i="9"/>
  <c r="J31" i="9"/>
  <c r="J42" i="9"/>
  <c r="N43" i="9"/>
  <c r="J45" i="9"/>
  <c r="J48" i="9"/>
  <c r="X49" i="9"/>
  <c r="N53" i="9"/>
  <c r="R55" i="9"/>
  <c r="J60" i="9"/>
  <c r="R64" i="9"/>
  <c r="Z69" i="9"/>
  <c r="R73" i="9"/>
  <c r="N20" i="12"/>
  <c r="N36" i="12"/>
  <c r="Z123" i="12"/>
  <c r="Z147" i="12"/>
  <c r="Z175" i="12"/>
  <c r="X183" i="12"/>
  <c r="Z183" i="12" s="1"/>
  <c r="P182" i="12"/>
  <c r="X182" i="12" s="1"/>
  <c r="Z182" i="12" s="1"/>
  <c r="Z16" i="15"/>
  <c r="Z32" i="15"/>
  <c r="Z40" i="15"/>
  <c r="X16" i="3"/>
  <c r="Z16" i="3" s="1"/>
  <c r="L20" i="3"/>
  <c r="N20" i="3" s="1"/>
  <c r="X24" i="3"/>
  <c r="Z24" i="3" s="1"/>
  <c r="L28" i="3"/>
  <c r="N28" i="3" s="1"/>
  <c r="X32" i="3"/>
  <c r="L36" i="3"/>
  <c r="X40" i="3"/>
  <c r="Z40" i="3" s="1"/>
  <c r="L44" i="3"/>
  <c r="N44" i="3" s="1"/>
  <c r="X48" i="3"/>
  <c r="Z48" i="3" s="1"/>
  <c r="L52" i="3"/>
  <c r="N52" i="3" s="1"/>
  <c r="X56" i="3"/>
  <c r="Z56" i="3" s="1"/>
  <c r="L60" i="3"/>
  <c r="N60" i="3" s="1"/>
  <c r="X64" i="3"/>
  <c r="Z64" i="3" s="1"/>
  <c r="L68" i="3"/>
  <c r="N68" i="3" s="1"/>
  <c r="X72" i="3"/>
  <c r="Z72" i="3" s="1"/>
  <c r="L76" i="3"/>
  <c r="N76" i="3" s="1"/>
  <c r="X80" i="3"/>
  <c r="Z80" i="3" s="1"/>
  <c r="H212" i="3"/>
  <c r="J212" i="3" s="1"/>
  <c r="R16" i="4"/>
  <c r="J18" i="4"/>
  <c r="R20" i="4"/>
  <c r="F24" i="4"/>
  <c r="V24" i="4"/>
  <c r="J15" i="5"/>
  <c r="H18" i="5"/>
  <c r="F21" i="5"/>
  <c r="V21" i="5"/>
  <c r="J25" i="5"/>
  <c r="R27" i="5"/>
  <c r="J29" i="5"/>
  <c r="R31" i="5"/>
  <c r="J33" i="5"/>
  <c r="R34" i="5"/>
  <c r="J36" i="5"/>
  <c r="F24" i="6"/>
  <c r="J21" i="7"/>
  <c r="F27" i="7"/>
  <c r="V27" i="7"/>
  <c r="F31" i="7"/>
  <c r="V31" i="7"/>
  <c r="F34" i="7"/>
  <c r="V34" i="7"/>
  <c r="R16" i="8"/>
  <c r="J18" i="8"/>
  <c r="R20" i="8"/>
  <c r="F24" i="8"/>
  <c r="V24" i="8"/>
  <c r="V59" i="9"/>
  <c r="V55" i="9"/>
  <c r="V51" i="9"/>
  <c r="V68" i="9"/>
  <c r="V60" i="9"/>
  <c r="V56" i="9"/>
  <c r="V48" i="9"/>
  <c r="V40" i="9"/>
  <c r="V32" i="9"/>
  <c r="V28" i="9"/>
  <c r="V71" i="9"/>
  <c r="V67" i="9"/>
  <c r="V63" i="9"/>
  <c r="V47" i="9"/>
  <c r="V39" i="9"/>
  <c r="V31" i="9"/>
  <c r="V27" i="9"/>
  <c r="V70" i="9"/>
  <c r="V66" i="9"/>
  <c r="V62" i="9"/>
  <c r="V50" i="9"/>
  <c r="V42" i="9"/>
  <c r="V30" i="9"/>
  <c r="V26" i="9"/>
  <c r="V84" i="9"/>
  <c r="V79" i="9"/>
  <c r="V77" i="9"/>
  <c r="V73" i="9"/>
  <c r="V69" i="9"/>
  <c r="V65" i="9"/>
  <c r="V49" i="9"/>
  <c r="V41" i="9"/>
  <c r="V25" i="9"/>
  <c r="F16" i="9"/>
  <c r="V16" i="9"/>
  <c r="V20" i="9"/>
  <c r="V21" i="9"/>
  <c r="F29" i="9"/>
  <c r="R36" i="9"/>
  <c r="J37" i="9"/>
  <c r="F40" i="9"/>
  <c r="R44" i="9"/>
  <c r="L45" i="9"/>
  <c r="N45" i="9" s="1"/>
  <c r="J47" i="9"/>
  <c r="R54" i="9"/>
  <c r="N60" i="9"/>
  <c r="Z64" i="9"/>
  <c r="F67" i="9"/>
  <c r="F71" i="9"/>
  <c r="R79" i="9"/>
  <c r="J16" i="11"/>
  <c r="H12" i="12"/>
  <c r="Z25" i="12"/>
  <c r="N29" i="12"/>
  <c r="Z32" i="12"/>
  <c r="Z15" i="15"/>
  <c r="Z23" i="15"/>
  <c r="Z31" i="15"/>
  <c r="Z39" i="15"/>
  <c r="Z47" i="15"/>
  <c r="Z56" i="15"/>
  <c r="N59" i="15"/>
  <c r="J20" i="5"/>
  <c r="Z15" i="19"/>
  <c r="X15" i="19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F16" i="6"/>
  <c r="V16" i="6"/>
  <c r="F20" i="6"/>
  <c r="V20" i="6"/>
  <c r="J24" i="6"/>
  <c r="F26" i="6"/>
  <c r="V26" i="6"/>
  <c r="Z12" i="7"/>
  <c r="F16" i="7"/>
  <c r="V16" i="7"/>
  <c r="F20" i="7"/>
  <c r="V20" i="7"/>
  <c r="R22" i="7"/>
  <c r="J24" i="7"/>
  <c r="X12" i="8"/>
  <c r="J21" i="8"/>
  <c r="F27" i="8"/>
  <c r="V27" i="8"/>
  <c r="F31" i="8"/>
  <c r="V31" i="8"/>
  <c r="F34" i="8"/>
  <c r="V34" i="8"/>
  <c r="X12" i="9"/>
  <c r="H16" i="9"/>
  <c r="X16" i="9"/>
  <c r="F19" i="9"/>
  <c r="V19" i="9"/>
  <c r="V36" i="9"/>
  <c r="L37" i="9"/>
  <c r="N37" i="9" s="1"/>
  <c r="J39" i="9"/>
  <c r="J40" i="9"/>
  <c r="R43" i="9"/>
  <c r="V44" i="9"/>
  <c r="R46" i="9"/>
  <c r="V54" i="9"/>
  <c r="V61" i="9"/>
  <c r="R62" i="9"/>
  <c r="V64" i="9"/>
  <c r="F66" i="9"/>
  <c r="F70" i="9"/>
  <c r="R72" i="9"/>
  <c r="Z16" i="12"/>
  <c r="N28" i="12"/>
  <c r="N61" i="12"/>
  <c r="Z151" i="12"/>
  <c r="Z179" i="12"/>
  <c r="D12" i="15"/>
  <c r="L13" i="15"/>
  <c r="N13" i="15" s="1"/>
  <c r="Z55" i="15"/>
  <c r="Z33" i="19"/>
  <c r="X33" i="19"/>
  <c r="Z62" i="18"/>
  <c r="X62" i="18"/>
  <c r="Z12" i="4"/>
  <c r="F16" i="4"/>
  <c r="V16" i="4"/>
  <c r="F20" i="4"/>
  <c r="V20" i="4"/>
  <c r="R22" i="4"/>
  <c r="J24" i="4"/>
  <c r="X12" i="5"/>
  <c r="J21" i="5"/>
  <c r="F27" i="5"/>
  <c r="V27" i="5"/>
  <c r="F31" i="5"/>
  <c r="V31" i="5"/>
  <c r="X12" i="6"/>
  <c r="H16" i="6"/>
  <c r="R15" i="7"/>
  <c r="P18" i="7"/>
  <c r="R25" i="7"/>
  <c r="J27" i="7"/>
  <c r="R29" i="7"/>
  <c r="J31" i="7"/>
  <c r="R33" i="7"/>
  <c r="J34" i="7"/>
  <c r="R36" i="7"/>
  <c r="Z12" i="8"/>
  <c r="F16" i="8"/>
  <c r="V16" i="8"/>
  <c r="F20" i="8"/>
  <c r="V20" i="8"/>
  <c r="R22" i="8"/>
  <c r="J24" i="8"/>
  <c r="Z12" i="9"/>
  <c r="R14" i="9"/>
  <c r="J16" i="9"/>
  <c r="R18" i="9"/>
  <c r="R25" i="9"/>
  <c r="F28" i="9"/>
  <c r="V29" i="9"/>
  <c r="R35" i="9"/>
  <c r="R38" i="9"/>
  <c r="X41" i="9"/>
  <c r="Z43" i="9"/>
  <c r="V46" i="9"/>
  <c r="F50" i="9"/>
  <c r="N51" i="9"/>
  <c r="V52" i="9"/>
  <c r="R59" i="9"/>
  <c r="J66" i="9"/>
  <c r="J70" i="9"/>
  <c r="Z72" i="9"/>
  <c r="D12" i="12"/>
  <c r="L13" i="12"/>
  <c r="N60" i="12"/>
  <c r="Z136" i="12"/>
  <c r="N138" i="12"/>
  <c r="L74" i="18"/>
  <c r="N74" i="18" s="1"/>
  <c r="H199" i="18"/>
  <c r="N201" i="18"/>
  <c r="L201" i="18"/>
  <c r="T199" i="18"/>
  <c r="X203" i="18"/>
  <c r="Z203" i="18" s="1"/>
  <c r="Z29" i="19"/>
  <c r="X29" i="19"/>
  <c r="P81" i="9"/>
  <c r="X77" i="9"/>
  <c r="Z14" i="3"/>
  <c r="N18" i="3"/>
  <c r="R25" i="4"/>
  <c r="J27" i="4"/>
  <c r="R29" i="4"/>
  <c r="J31" i="4"/>
  <c r="R33" i="4"/>
  <c r="J34" i="4"/>
  <c r="R36" i="4"/>
  <c r="J24" i="5"/>
  <c r="J16" i="6"/>
  <c r="J20" i="6"/>
  <c r="R22" i="6"/>
  <c r="J26" i="6"/>
  <c r="R28" i="6"/>
  <c r="R31" i="6"/>
  <c r="J16" i="7"/>
  <c r="J20" i="7"/>
  <c r="V22" i="7"/>
  <c r="P18" i="8"/>
  <c r="R25" i="8"/>
  <c r="J27" i="8"/>
  <c r="R29" i="8"/>
  <c r="J31" i="8"/>
  <c r="R33" i="8"/>
  <c r="J34" i="8"/>
  <c r="F68" i="9"/>
  <c r="F51" i="9"/>
  <c r="F48" i="9"/>
  <c r="F79" i="9"/>
  <c r="F73" i="9"/>
  <c r="F65" i="9"/>
  <c r="F60" i="9"/>
  <c r="F56" i="9"/>
  <c r="F25" i="9"/>
  <c r="F52" i="9"/>
  <c r="F47" i="9"/>
  <c r="F44" i="9"/>
  <c r="F39" i="9"/>
  <c r="F36" i="9"/>
  <c r="F24" i="9"/>
  <c r="F62" i="9"/>
  <c r="F59" i="9"/>
  <c r="F55" i="9"/>
  <c r="F35" i="9"/>
  <c r="F30" i="9"/>
  <c r="F23" i="9"/>
  <c r="F84" i="9"/>
  <c r="F77" i="9"/>
  <c r="F69" i="9"/>
  <c r="F58" i="9"/>
  <c r="F54" i="9"/>
  <c r="F49" i="9"/>
  <c r="F46" i="9"/>
  <c r="F41" i="9"/>
  <c r="F38" i="9"/>
  <c r="F34" i="9"/>
  <c r="F22" i="9"/>
  <c r="J19" i="9"/>
  <c r="R24" i="9"/>
  <c r="J28" i="9"/>
  <c r="R30" i="9"/>
  <c r="F33" i="9"/>
  <c r="R34" i="9"/>
  <c r="V35" i="9"/>
  <c r="V38" i="9"/>
  <c r="R41" i="9"/>
  <c r="V43" i="9"/>
  <c r="V45" i="9"/>
  <c r="J50" i="9"/>
  <c r="V53" i="9"/>
  <c r="F57" i="9"/>
  <c r="R58" i="9"/>
  <c r="V72" i="9"/>
  <c r="F81" i="9"/>
  <c r="L13" i="10"/>
  <c r="N13" i="12"/>
  <c r="Z24" i="12"/>
  <c r="Z49" i="12"/>
  <c r="L52" i="12"/>
  <c r="N53" i="12"/>
  <c r="Z55" i="12"/>
  <c r="Z56" i="12"/>
  <c r="L117" i="12"/>
  <c r="X155" i="12"/>
  <c r="X163" i="12"/>
  <c r="J34" i="14"/>
  <c r="J31" i="14"/>
  <c r="J27" i="14"/>
  <c r="J24" i="14"/>
  <c r="J21" i="14"/>
  <c r="J18" i="14"/>
  <c r="J36" i="14"/>
  <c r="J33" i="14"/>
  <c r="J29" i="14"/>
  <c r="J25" i="14"/>
  <c r="H18" i="14"/>
  <c r="J15" i="14"/>
  <c r="J22" i="14"/>
  <c r="N12" i="14"/>
  <c r="L20" i="15"/>
  <c r="N20" i="15" s="1"/>
  <c r="L28" i="15"/>
  <c r="L36" i="15"/>
  <c r="L44" i="15"/>
  <c r="Z64" i="15"/>
  <c r="Z25" i="19"/>
  <c r="X25" i="19"/>
  <c r="J16" i="5"/>
  <c r="J16" i="4"/>
  <c r="R15" i="5"/>
  <c r="P18" i="5"/>
  <c r="R25" i="5"/>
  <c r="J27" i="5"/>
  <c r="R29" i="5"/>
  <c r="J31" i="5"/>
  <c r="R33" i="5"/>
  <c r="T18" i="7"/>
  <c r="F25" i="7"/>
  <c r="V25" i="7"/>
  <c r="F29" i="7"/>
  <c r="V29" i="7"/>
  <c r="F33" i="7"/>
  <c r="V33" i="7"/>
  <c r="J16" i="8"/>
  <c r="J81" i="9"/>
  <c r="J75" i="9"/>
  <c r="J71" i="9"/>
  <c r="J67" i="9"/>
  <c r="J63" i="9"/>
  <c r="J53" i="9"/>
  <c r="J62" i="9"/>
  <c r="J52" i="9"/>
  <c r="J44" i="9"/>
  <c r="J36" i="9"/>
  <c r="J30" i="9"/>
  <c r="J24" i="9"/>
  <c r="J84" i="9"/>
  <c r="J77" i="9"/>
  <c r="J69" i="9"/>
  <c r="J59" i="9"/>
  <c r="J55" i="9"/>
  <c r="J49" i="9"/>
  <c r="J41" i="9"/>
  <c r="J35" i="9"/>
  <c r="J23" i="9"/>
  <c r="J72" i="9"/>
  <c r="J64" i="9"/>
  <c r="J58" i="9"/>
  <c r="J54" i="9"/>
  <c r="J46" i="9"/>
  <c r="J38" i="9"/>
  <c r="J34" i="9"/>
  <c r="J22" i="9"/>
  <c r="J61" i="9"/>
  <c r="J57" i="9"/>
  <c r="J51" i="9"/>
  <c r="J43" i="9"/>
  <c r="J33" i="9"/>
  <c r="J29" i="9"/>
  <c r="F14" i="9"/>
  <c r="F18" i="9"/>
  <c r="F21" i="9"/>
  <c r="V24" i="9"/>
  <c r="F27" i="9"/>
  <c r="F32" i="9"/>
  <c r="V34" i="9"/>
  <c r="V37" i="9"/>
  <c r="Z41" i="9"/>
  <c r="R51" i="9"/>
  <c r="J56" i="9"/>
  <c r="V58" i="9"/>
  <c r="F64" i="9"/>
  <c r="J34" i="11"/>
  <c r="J31" i="11"/>
  <c r="J27" i="11"/>
  <c r="J24" i="11"/>
  <c r="J21" i="11"/>
  <c r="J18" i="11"/>
  <c r="J36" i="11"/>
  <c r="J33" i="11"/>
  <c r="J29" i="11"/>
  <c r="J25" i="11"/>
  <c r="H18" i="11"/>
  <c r="J15" i="11"/>
  <c r="J22" i="11"/>
  <c r="N12" i="11"/>
  <c r="P12" i="12"/>
  <c r="Z23" i="12"/>
  <c r="L44" i="12"/>
  <c r="N44" i="12" s="1"/>
  <c r="X48" i="12"/>
  <c r="N51" i="12"/>
  <c r="N52" i="12"/>
  <c r="N117" i="12"/>
  <c r="L129" i="12"/>
  <c r="N129" i="12" s="1"/>
  <c r="Z155" i="12"/>
  <c r="Z163" i="12"/>
  <c r="N28" i="15"/>
  <c r="N36" i="15"/>
  <c r="N44" i="15"/>
  <c r="L52" i="15"/>
  <c r="N52" i="15" s="1"/>
  <c r="J199" i="18"/>
  <c r="J195" i="18"/>
  <c r="J191" i="18"/>
  <c r="J183" i="18"/>
  <c r="J179" i="18"/>
  <c r="J175" i="18"/>
  <c r="J171" i="18"/>
  <c r="J167" i="18"/>
  <c r="J163" i="18"/>
  <c r="J157" i="18"/>
  <c r="J151" i="18"/>
  <c r="J145" i="18"/>
  <c r="J139" i="18"/>
  <c r="J131" i="18"/>
  <c r="J127" i="18"/>
  <c r="J119" i="18"/>
  <c r="J111" i="18"/>
  <c r="J103" i="18"/>
  <c r="J95" i="18"/>
  <c r="J87" i="18"/>
  <c r="J79" i="18"/>
  <c r="J208" i="18"/>
  <c r="J202" i="18"/>
  <c r="J194" i="18"/>
  <c r="J182" i="18"/>
  <c r="J178" i="18"/>
  <c r="J174" i="18"/>
  <c r="J170" i="18"/>
  <c r="J166" i="18"/>
  <c r="J154" i="18"/>
  <c r="J148" i="18"/>
  <c r="J136" i="18"/>
  <c r="J130" i="18"/>
  <c r="J126" i="18"/>
  <c r="J118" i="18"/>
  <c r="J116" i="18"/>
  <c r="J110" i="18"/>
  <c r="J102" i="18"/>
  <c r="J94" i="18"/>
  <c r="J86" i="18"/>
  <c r="J197" i="18"/>
  <c r="J193" i="18"/>
  <c r="J187" i="18"/>
  <c r="J181" i="18"/>
  <c r="J173" i="18"/>
  <c r="J169" i="18"/>
  <c r="J165" i="18"/>
  <c r="J159" i="18"/>
  <c r="J153" i="18"/>
  <c r="J141" i="18"/>
  <c r="J129" i="18"/>
  <c r="J125" i="18"/>
  <c r="J109" i="18"/>
  <c r="J101" i="18"/>
  <c r="J93" i="18"/>
  <c r="J85" i="18"/>
  <c r="J200" i="18"/>
  <c r="J190" i="18"/>
  <c r="J162" i="18"/>
  <c r="J156" i="18"/>
  <c r="J150" i="18"/>
  <c r="J144" i="18"/>
  <c r="J138" i="18"/>
  <c r="J124" i="18"/>
  <c r="J108" i="18"/>
  <c r="J100" i="18"/>
  <c r="J92" i="18"/>
  <c r="J84" i="18"/>
  <c r="J78" i="18"/>
  <c r="J203" i="18"/>
  <c r="J177" i="18"/>
  <c r="J147" i="18"/>
  <c r="J143" i="18"/>
  <c r="J135" i="18"/>
  <c r="J123" i="18"/>
  <c r="J117" i="18"/>
  <c r="J107" i="18"/>
  <c r="J99" i="18"/>
  <c r="J91" i="18"/>
  <c r="J83" i="18"/>
  <c r="J196" i="18"/>
  <c r="J192" i="18"/>
  <c r="J186" i="18"/>
  <c r="J180" i="18"/>
  <c r="J172" i="18"/>
  <c r="J168" i="18"/>
  <c r="J164" i="18"/>
  <c r="J158" i="18"/>
  <c r="J152" i="18"/>
  <c r="J146" i="18"/>
  <c r="J140" i="18"/>
  <c r="J134" i="18"/>
  <c r="J128" i="18"/>
  <c r="J122" i="18"/>
  <c r="J114" i="18"/>
  <c r="J106" i="18"/>
  <c r="J98" i="18"/>
  <c r="J90" i="18"/>
  <c r="J82" i="18"/>
  <c r="J201" i="18"/>
  <c r="J189" i="18"/>
  <c r="J185" i="18"/>
  <c r="J161" i="18"/>
  <c r="J155" i="18"/>
  <c r="J149" i="18"/>
  <c r="J137" i="18"/>
  <c r="J133" i="18"/>
  <c r="J121" i="18"/>
  <c r="H114" i="18"/>
  <c r="J105" i="18"/>
  <c r="J97" i="18"/>
  <c r="J89" i="18"/>
  <c r="J81" i="18"/>
  <c r="J142" i="18"/>
  <c r="J112" i="18"/>
  <c r="J80" i="18"/>
  <c r="J132" i="18"/>
  <c r="J204" i="18"/>
  <c r="J88" i="18"/>
  <c r="J188" i="18"/>
  <c r="J96" i="18"/>
  <c r="J176" i="18"/>
  <c r="J160" i="18"/>
  <c r="J120" i="18"/>
  <c r="L66" i="18"/>
  <c r="N66" i="18" s="1"/>
  <c r="X177" i="18"/>
  <c r="Z177" i="18" s="1"/>
  <c r="N12" i="10"/>
  <c r="X15" i="10"/>
  <c r="F18" i="10"/>
  <c r="V18" i="10"/>
  <c r="J22" i="10"/>
  <c r="R24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V36" i="11"/>
  <c r="N12" i="13"/>
  <c r="X15" i="13"/>
  <c r="F18" i="13"/>
  <c r="V18" i="13"/>
  <c r="J22" i="13"/>
  <c r="R24" i="13"/>
  <c r="L12" i="14"/>
  <c r="F15" i="14"/>
  <c r="V15" i="14"/>
  <c r="D18" i="14"/>
  <c r="T18" i="14"/>
  <c r="R21" i="14"/>
  <c r="F25" i="14"/>
  <c r="V25" i="14"/>
  <c r="F29" i="14"/>
  <c r="V29" i="14"/>
  <c r="F33" i="14"/>
  <c r="V33" i="14"/>
  <c r="F36" i="14"/>
  <c r="V36" i="14"/>
  <c r="N108" i="15"/>
  <c r="X122" i="15"/>
  <c r="Z122" i="15" s="1"/>
  <c r="Z22" i="18"/>
  <c r="X22" i="18"/>
  <c r="L26" i="18"/>
  <c r="N26" i="18" s="1"/>
  <c r="Z27" i="18"/>
  <c r="Z152" i="18"/>
  <c r="Z164" i="18"/>
  <c r="Z172" i="18"/>
  <c r="Z18" i="21"/>
  <c r="N23" i="21"/>
  <c r="Z46" i="21"/>
  <c r="N48" i="21"/>
  <c r="L29" i="30"/>
  <c r="N29" i="30" s="1"/>
  <c r="X33" i="30"/>
  <c r="Z33" i="30" s="1"/>
  <c r="J15" i="10"/>
  <c r="H18" i="10"/>
  <c r="F21" i="10"/>
  <c r="V21" i="10"/>
  <c r="J25" i="10"/>
  <c r="R27" i="10"/>
  <c r="J29" i="10"/>
  <c r="R31" i="10"/>
  <c r="J33" i="10"/>
  <c r="R34" i="10"/>
  <c r="J36" i="10"/>
  <c r="X15" i="11"/>
  <c r="F18" i="11"/>
  <c r="V18" i="11"/>
  <c r="R24" i="11"/>
  <c r="J15" i="13"/>
  <c r="H18" i="13"/>
  <c r="F21" i="13"/>
  <c r="V21" i="13"/>
  <c r="J25" i="13"/>
  <c r="R27" i="13"/>
  <c r="J29" i="13"/>
  <c r="R31" i="13"/>
  <c r="J33" i="13"/>
  <c r="R34" i="13"/>
  <c r="J36" i="13"/>
  <c r="F18" i="14"/>
  <c r="R24" i="14"/>
  <c r="N34" i="17"/>
  <c r="L34" i="17"/>
  <c r="Z54" i="18"/>
  <c r="X54" i="18"/>
  <c r="N58" i="18"/>
  <c r="L58" i="18"/>
  <c r="R16" i="10"/>
  <c r="J18" i="10"/>
  <c r="F24" i="10"/>
  <c r="V24" i="10"/>
  <c r="F21" i="11"/>
  <c r="V21" i="11"/>
  <c r="R27" i="11"/>
  <c r="R31" i="11"/>
  <c r="J18" i="13"/>
  <c r="F24" i="13"/>
  <c r="V24" i="13"/>
  <c r="F21" i="14"/>
  <c r="R27" i="14"/>
  <c r="R31" i="14"/>
  <c r="R34" i="14"/>
  <c r="P12" i="15"/>
  <c r="F20" i="16"/>
  <c r="F16" i="16"/>
  <c r="F34" i="16"/>
  <c r="F31" i="16"/>
  <c r="F27" i="16"/>
  <c r="F24" i="16"/>
  <c r="F21" i="16"/>
  <c r="F18" i="16"/>
  <c r="F36" i="16"/>
  <c r="F33" i="16"/>
  <c r="F29" i="16"/>
  <c r="F25" i="16"/>
  <c r="D18" i="16"/>
  <c r="F15" i="16"/>
  <c r="L12" i="16"/>
  <c r="F22" i="16"/>
  <c r="N16" i="16"/>
  <c r="L16" i="16"/>
  <c r="X14" i="18"/>
  <c r="Z14" i="18" s="1"/>
  <c r="N18" i="18"/>
  <c r="L18" i="18"/>
  <c r="Z19" i="18"/>
  <c r="X46" i="18"/>
  <c r="Z46" i="18" s="1"/>
  <c r="N50" i="18"/>
  <c r="L50" i="18"/>
  <c r="N63" i="18"/>
  <c r="Z70" i="18"/>
  <c r="X70" i="18"/>
  <c r="Z128" i="18"/>
  <c r="J34" i="19"/>
  <c r="J31" i="19"/>
  <c r="J27" i="19"/>
  <c r="J24" i="19"/>
  <c r="J21" i="19"/>
  <c r="J18" i="19"/>
  <c r="J36" i="19"/>
  <c r="J33" i="19"/>
  <c r="J29" i="19"/>
  <c r="J25" i="19"/>
  <c r="H18" i="19"/>
  <c r="J15" i="19"/>
  <c r="J22" i="19"/>
  <c r="N12" i="19"/>
  <c r="N16" i="20"/>
  <c r="L16" i="20"/>
  <c r="F68" i="21"/>
  <c r="F61" i="21"/>
  <c r="F65" i="21"/>
  <c r="F59" i="21"/>
  <c r="F63" i="21"/>
  <c r="F56" i="21"/>
  <c r="F53" i="21"/>
  <c r="F49" i="21"/>
  <c r="F44" i="21"/>
  <c r="F41" i="21"/>
  <c r="F25" i="21"/>
  <c r="F52" i="21"/>
  <c r="F35" i="21"/>
  <c r="F32" i="21"/>
  <c r="F23" i="21"/>
  <c r="F55" i="21"/>
  <c r="F46" i="21"/>
  <c r="F43" i="21"/>
  <c r="F31" i="21"/>
  <c r="F18" i="21"/>
  <c r="F37" i="21"/>
  <c r="F34" i="21"/>
  <c r="F30" i="21"/>
  <c r="F48" i="21"/>
  <c r="F45" i="21"/>
  <c r="F40" i="21"/>
  <c r="F29" i="21"/>
  <c r="F24" i="21"/>
  <c r="F57" i="21"/>
  <c r="F51" i="21"/>
  <c r="F36" i="21"/>
  <c r="F28" i="21"/>
  <c r="F21" i="21"/>
  <c r="F54" i="21"/>
  <c r="F47" i="21"/>
  <c r="F42" i="21"/>
  <c r="F39" i="21"/>
  <c r="F27" i="21"/>
  <c r="D21" i="21"/>
  <c r="F19" i="21"/>
  <c r="P12" i="21"/>
  <c r="X16" i="21"/>
  <c r="F50" i="21"/>
  <c r="X54" i="21"/>
  <c r="Z54" i="21" s="1"/>
  <c r="H12" i="30"/>
  <c r="N13" i="30"/>
  <c r="L13" i="30"/>
  <c r="Z17" i="30"/>
  <c r="X17" i="30"/>
  <c r="X126" i="30"/>
  <c r="Z126" i="30" s="1"/>
  <c r="J21" i="10"/>
  <c r="F27" i="10"/>
  <c r="V27" i="10"/>
  <c r="F31" i="10"/>
  <c r="V31" i="10"/>
  <c r="F34" i="10"/>
  <c r="T12" i="12"/>
  <c r="X12" i="13"/>
  <c r="J21" i="13"/>
  <c r="F27" i="13"/>
  <c r="V27" i="13"/>
  <c r="F31" i="13"/>
  <c r="V31" i="13"/>
  <c r="F34" i="13"/>
  <c r="V34" i="13"/>
  <c r="R16" i="14"/>
  <c r="R20" i="14"/>
  <c r="F24" i="14"/>
  <c r="T12" i="15"/>
  <c r="L116" i="15"/>
  <c r="N116" i="15" s="1"/>
  <c r="Z130" i="15"/>
  <c r="N132" i="15"/>
  <c r="N20" i="16"/>
  <c r="L20" i="16"/>
  <c r="T12" i="18"/>
  <c r="N23" i="18"/>
  <c r="Z140" i="18"/>
  <c r="J16" i="19"/>
  <c r="N20" i="20"/>
  <c r="L20" i="20"/>
  <c r="Z33" i="21"/>
  <c r="Z42" i="21"/>
  <c r="X42" i="21"/>
  <c r="N44" i="21"/>
  <c r="L44" i="21"/>
  <c r="V45" i="24"/>
  <c r="V37" i="24"/>
  <c r="V29" i="24"/>
  <c r="V25" i="24"/>
  <c r="V59" i="24"/>
  <c r="V54" i="24"/>
  <c r="V52" i="24"/>
  <c r="V48" i="24"/>
  <c r="V36" i="24"/>
  <c r="V24" i="24"/>
  <c r="V47" i="24"/>
  <c r="V39" i="24"/>
  <c r="V31" i="24"/>
  <c r="V23" i="24"/>
  <c r="V38" i="24"/>
  <c r="V30" i="24"/>
  <c r="V41" i="24"/>
  <c r="V33" i="24"/>
  <c r="V27" i="24"/>
  <c r="V56" i="24"/>
  <c r="V50" i="24"/>
  <c r="V44" i="24"/>
  <c r="V40" i="24"/>
  <c r="V32" i="24"/>
  <c r="T27" i="24"/>
  <c r="Z12" i="24"/>
  <c r="V43" i="24"/>
  <c r="V35" i="24"/>
  <c r="V42" i="24"/>
  <c r="V34" i="24"/>
  <c r="F20" i="10"/>
  <c r="Z22" i="16"/>
  <c r="X22" i="16"/>
  <c r="X38" i="18"/>
  <c r="Z38" i="18" s="1"/>
  <c r="N42" i="18"/>
  <c r="L42" i="18"/>
  <c r="L203" i="18"/>
  <c r="N203" i="18" s="1"/>
  <c r="D199" i="18"/>
  <c r="L199" i="18" s="1"/>
  <c r="J20" i="19"/>
  <c r="Z22" i="20"/>
  <c r="X22" i="20"/>
  <c r="F38" i="21"/>
  <c r="V21" i="23"/>
  <c r="V18" i="23"/>
  <c r="V36" i="23"/>
  <c r="V33" i="23"/>
  <c r="V29" i="23"/>
  <c r="V25" i="23"/>
  <c r="T18" i="23"/>
  <c r="V15" i="23"/>
  <c r="V22" i="23"/>
  <c r="V20" i="23"/>
  <c r="V16" i="23"/>
  <c r="Z12" i="23"/>
  <c r="V34" i="23"/>
  <c r="V31" i="23"/>
  <c r="V27" i="23"/>
  <c r="X12" i="23"/>
  <c r="V24" i="23"/>
  <c r="X13" i="11"/>
  <c r="X13" i="12"/>
  <c r="Z13" i="12" s="1"/>
  <c r="L17" i="12"/>
  <c r="N17" i="12" s="1"/>
  <c r="X21" i="12"/>
  <c r="Z21" i="12" s="1"/>
  <c r="L25" i="12"/>
  <c r="N25" i="12" s="1"/>
  <c r="J27" i="13"/>
  <c r="J31" i="13"/>
  <c r="J34" i="13"/>
  <c r="X13" i="14"/>
  <c r="F16" i="14"/>
  <c r="R22" i="14"/>
  <c r="X13" i="15"/>
  <c r="Z13" i="15" s="1"/>
  <c r="L17" i="15"/>
  <c r="N17" i="15" s="1"/>
  <c r="X21" i="15"/>
  <c r="Z21" i="15" s="1"/>
  <c r="L25" i="15"/>
  <c r="N25" i="15" s="1"/>
  <c r="X29" i="15"/>
  <c r="Z29" i="15" s="1"/>
  <c r="L33" i="15"/>
  <c r="N33" i="15" s="1"/>
  <c r="X37" i="15"/>
  <c r="Z37" i="15" s="1"/>
  <c r="L41" i="15"/>
  <c r="N41" i="15" s="1"/>
  <c r="X45" i="15"/>
  <c r="Z45" i="15" s="1"/>
  <c r="L49" i="15"/>
  <c r="N49" i="15" s="1"/>
  <c r="X53" i="15"/>
  <c r="Z53" i="15" s="1"/>
  <c r="L57" i="15"/>
  <c r="X61" i="15"/>
  <c r="Z61" i="15" s="1"/>
  <c r="N120" i="15"/>
  <c r="Z135" i="15"/>
  <c r="Z142" i="15"/>
  <c r="N144" i="15"/>
  <c r="N152" i="15"/>
  <c r="L179" i="15"/>
  <c r="L182" i="15"/>
  <c r="N182" i="15" s="1"/>
  <c r="N15" i="18"/>
  <c r="N47" i="18"/>
  <c r="N71" i="18"/>
  <c r="N142" i="18"/>
  <c r="F20" i="20"/>
  <c r="F16" i="20"/>
  <c r="F34" i="20"/>
  <c r="F31" i="20"/>
  <c r="F27" i="20"/>
  <c r="F24" i="20"/>
  <c r="F21" i="20"/>
  <c r="F18" i="20"/>
  <c r="F36" i="20"/>
  <c r="F33" i="20"/>
  <c r="F29" i="20"/>
  <c r="F25" i="20"/>
  <c r="D18" i="20"/>
  <c r="F15" i="20"/>
  <c r="L12" i="20"/>
  <c r="F22" i="20"/>
  <c r="X15" i="21"/>
  <c r="J16" i="10"/>
  <c r="J16" i="13"/>
  <c r="R15" i="14"/>
  <c r="P18" i="14"/>
  <c r="R25" i="14"/>
  <c r="R29" i="14"/>
  <c r="R33" i="14"/>
  <c r="N128" i="15"/>
  <c r="L128" i="15"/>
  <c r="D12" i="18"/>
  <c r="P12" i="18"/>
  <c r="X15" i="18"/>
  <c r="Z15" i="18" s="1"/>
  <c r="Z30" i="18"/>
  <c r="X30" i="18"/>
  <c r="L34" i="18"/>
  <c r="N34" i="18" s="1"/>
  <c r="X117" i="18"/>
  <c r="Z117" i="18" s="1"/>
  <c r="L155" i="18"/>
  <c r="N155" i="18" s="1"/>
  <c r="T12" i="21"/>
  <c r="Z15" i="21"/>
  <c r="H179" i="15"/>
  <c r="J179" i="15" s="1"/>
  <c r="J16" i="16"/>
  <c r="R18" i="16"/>
  <c r="J20" i="16"/>
  <c r="V22" i="16"/>
  <c r="R15" i="17"/>
  <c r="P18" i="17"/>
  <c r="R25" i="17"/>
  <c r="R29" i="17"/>
  <c r="J31" i="17"/>
  <c r="R33" i="17"/>
  <c r="J34" i="17"/>
  <c r="R36" i="17"/>
  <c r="L12" i="19"/>
  <c r="F15" i="19"/>
  <c r="V15" i="19"/>
  <c r="D18" i="19"/>
  <c r="T18" i="19"/>
  <c r="F25" i="19"/>
  <c r="V25" i="19"/>
  <c r="F29" i="19"/>
  <c r="V29" i="19"/>
  <c r="F33" i="19"/>
  <c r="V33" i="19"/>
  <c r="F36" i="19"/>
  <c r="V36" i="19"/>
  <c r="J16" i="20"/>
  <c r="R18" i="20"/>
  <c r="J20" i="20"/>
  <c r="V22" i="20"/>
  <c r="H12" i="21"/>
  <c r="L12" i="21" s="1"/>
  <c r="N16" i="24"/>
  <c r="L16" i="24"/>
  <c r="Z29" i="24"/>
  <c r="Z34" i="25"/>
  <c r="X34" i="25"/>
  <c r="R24" i="26"/>
  <c r="R21" i="26"/>
  <c r="R18" i="26"/>
  <c r="R36" i="26"/>
  <c r="R33" i="26"/>
  <c r="R29" i="26"/>
  <c r="R25" i="26"/>
  <c r="P18" i="26"/>
  <c r="R15" i="26"/>
  <c r="R22" i="26"/>
  <c r="X12" i="26"/>
  <c r="R20" i="26"/>
  <c r="R16" i="26"/>
  <c r="N24" i="27"/>
  <c r="Z94" i="27"/>
  <c r="Z20" i="30"/>
  <c r="Z36" i="30"/>
  <c r="N45" i="30"/>
  <c r="L45" i="30"/>
  <c r="N48" i="30"/>
  <c r="X92" i="30"/>
  <c r="L94" i="30"/>
  <c r="N104" i="30"/>
  <c r="L106" i="30"/>
  <c r="L16" i="31"/>
  <c r="X22" i="31"/>
  <c r="L21" i="33"/>
  <c r="V15" i="16"/>
  <c r="T18" i="16"/>
  <c r="R21" i="16"/>
  <c r="V25" i="16"/>
  <c r="V29" i="16"/>
  <c r="V33" i="16"/>
  <c r="V36" i="16"/>
  <c r="J16" i="17"/>
  <c r="R18" i="17"/>
  <c r="J20" i="17"/>
  <c r="F22" i="17"/>
  <c r="V22" i="17"/>
  <c r="P199" i="18"/>
  <c r="X199" i="18" s="1"/>
  <c r="F18" i="19"/>
  <c r="V18" i="19"/>
  <c r="V15" i="20"/>
  <c r="T18" i="20"/>
  <c r="R21" i="20"/>
  <c r="V25" i="20"/>
  <c r="V29" i="20"/>
  <c r="V33" i="20"/>
  <c r="V36" i="20"/>
  <c r="L45" i="24"/>
  <c r="N45" i="24" s="1"/>
  <c r="D12" i="27"/>
  <c r="L16" i="27"/>
  <c r="N106" i="30"/>
  <c r="F20" i="31"/>
  <c r="F16" i="31"/>
  <c r="F34" i="31"/>
  <c r="F31" i="31"/>
  <c r="F27" i="31"/>
  <c r="F24" i="31"/>
  <c r="F21" i="31"/>
  <c r="F18" i="31"/>
  <c r="F36" i="31"/>
  <c r="F33" i="31"/>
  <c r="F29" i="31"/>
  <c r="F25" i="31"/>
  <c r="D18" i="31"/>
  <c r="F15" i="31"/>
  <c r="L12" i="31"/>
  <c r="F22" i="31"/>
  <c r="L125" i="15"/>
  <c r="X135" i="15"/>
  <c r="L137" i="15"/>
  <c r="N137" i="15" s="1"/>
  <c r="V18" i="16"/>
  <c r="J22" i="16"/>
  <c r="R24" i="16"/>
  <c r="D18" i="17"/>
  <c r="R21" i="17"/>
  <c r="F25" i="17"/>
  <c r="F29" i="17"/>
  <c r="F33" i="17"/>
  <c r="F36" i="17"/>
  <c r="F21" i="19"/>
  <c r="V21" i="19"/>
  <c r="R27" i="19"/>
  <c r="R31" i="19"/>
  <c r="R34" i="19"/>
  <c r="N12" i="20"/>
  <c r="V18" i="20"/>
  <c r="J22" i="20"/>
  <c r="R24" i="20"/>
  <c r="X20" i="22"/>
  <c r="P27" i="23"/>
  <c r="L21" i="23"/>
  <c r="X34" i="23"/>
  <c r="N16" i="27"/>
  <c r="Z28" i="27"/>
  <c r="N82" i="27"/>
  <c r="X21" i="28"/>
  <c r="N33" i="28"/>
  <c r="L33" i="28"/>
  <c r="N18" i="30"/>
  <c r="Z22" i="30"/>
  <c r="N34" i="30"/>
  <c r="N41" i="30"/>
  <c r="Z104" i="30"/>
  <c r="T12" i="33"/>
  <c r="Z14" i="33"/>
  <c r="N17" i="33"/>
  <c r="H18" i="16"/>
  <c r="V21" i="16"/>
  <c r="J25" i="16"/>
  <c r="R27" i="16"/>
  <c r="J29" i="16"/>
  <c r="R31" i="16"/>
  <c r="J33" i="16"/>
  <c r="R34" i="16"/>
  <c r="J36" i="16"/>
  <c r="R24" i="17"/>
  <c r="V24" i="19"/>
  <c r="V21" i="20"/>
  <c r="R27" i="20"/>
  <c r="R31" i="20"/>
  <c r="R34" i="20"/>
  <c r="J36" i="20"/>
  <c r="Z13" i="22"/>
  <c r="X13" i="22"/>
  <c r="N21" i="25"/>
  <c r="L21" i="25"/>
  <c r="N23" i="27"/>
  <c r="L23" i="27"/>
  <c r="N84" i="27"/>
  <c r="L84" i="27"/>
  <c r="D12" i="30"/>
  <c r="L14" i="30"/>
  <c r="N14" i="30" s="1"/>
  <c r="X18" i="30"/>
  <c r="Z18" i="30" s="1"/>
  <c r="P12" i="30"/>
  <c r="N21" i="30"/>
  <c r="L21" i="30"/>
  <c r="N24" i="30"/>
  <c r="Z25" i="30"/>
  <c r="X25" i="30"/>
  <c r="N37" i="30"/>
  <c r="L37" i="30"/>
  <c r="N70" i="30"/>
  <c r="N86" i="30"/>
  <c r="Z106" i="30"/>
  <c r="P12" i="33"/>
  <c r="R20" i="16"/>
  <c r="V24" i="16"/>
  <c r="R27" i="17"/>
  <c r="R31" i="17"/>
  <c r="R34" i="17"/>
  <c r="X12" i="19"/>
  <c r="V27" i="19"/>
  <c r="V31" i="19"/>
  <c r="F34" i="19"/>
  <c r="V34" i="19"/>
  <c r="R16" i="20"/>
  <c r="R20" i="20"/>
  <c r="V24" i="20"/>
  <c r="L15" i="21"/>
  <c r="N19" i="27"/>
  <c r="N48" i="27"/>
  <c r="L48" i="27"/>
  <c r="Z82" i="27"/>
  <c r="X82" i="27"/>
  <c r="N29" i="28"/>
  <c r="L29" i="28"/>
  <c r="T27" i="29"/>
  <c r="Z18" i="29"/>
  <c r="N22" i="29"/>
  <c r="L22" i="29"/>
  <c r="Z41" i="30"/>
  <c r="X41" i="30"/>
  <c r="X170" i="15"/>
  <c r="Z170" i="15" s="1"/>
  <c r="L172" i="15"/>
  <c r="N172" i="15" s="1"/>
  <c r="X12" i="16"/>
  <c r="J21" i="16"/>
  <c r="V27" i="16"/>
  <c r="V31" i="16"/>
  <c r="V34" i="16"/>
  <c r="R16" i="17"/>
  <c r="J18" i="17"/>
  <c r="R20" i="17"/>
  <c r="F24" i="17"/>
  <c r="V24" i="17"/>
  <c r="X157" i="18"/>
  <c r="Z157" i="18" s="1"/>
  <c r="L159" i="18"/>
  <c r="N159" i="18" s="1"/>
  <c r="Z12" i="19"/>
  <c r="F16" i="19"/>
  <c r="V16" i="19"/>
  <c r="X12" i="20"/>
  <c r="J21" i="20"/>
  <c r="V27" i="20"/>
  <c r="V31" i="20"/>
  <c r="V34" i="20"/>
  <c r="X16" i="22"/>
  <c r="D12" i="24"/>
  <c r="L17" i="24"/>
  <c r="L29" i="24"/>
  <c r="N29" i="24" s="1"/>
  <c r="P12" i="27"/>
  <c r="H12" i="27"/>
  <c r="L15" i="27"/>
  <c r="N15" i="27" s="1"/>
  <c r="Z27" i="27"/>
  <c r="X27" i="27"/>
  <c r="Z84" i="27"/>
  <c r="L94" i="27"/>
  <c r="L25" i="28"/>
  <c r="N17" i="30"/>
  <c r="Z21" i="30"/>
  <c r="N23" i="30"/>
  <c r="N33" i="30"/>
  <c r="Z37" i="30"/>
  <c r="Z44" i="30"/>
  <c r="N50" i="30"/>
  <c r="Z70" i="30"/>
  <c r="N80" i="30"/>
  <c r="Z86" i="30"/>
  <c r="N96" i="30"/>
  <c r="H126" i="30"/>
  <c r="L126" i="30" s="1"/>
  <c r="P27" i="31"/>
  <c r="Z17" i="33"/>
  <c r="N19" i="33"/>
  <c r="T179" i="15"/>
  <c r="Z12" i="16"/>
  <c r="V16" i="16"/>
  <c r="F27" i="17"/>
  <c r="V27" i="17"/>
  <c r="F31" i="17"/>
  <c r="V31" i="17"/>
  <c r="Z12" i="20"/>
  <c r="V16" i="20"/>
  <c r="N18" i="20"/>
  <c r="P12" i="24"/>
  <c r="X13" i="24"/>
  <c r="Z20" i="24"/>
  <c r="X20" i="24"/>
  <c r="V21" i="25"/>
  <c r="V18" i="25"/>
  <c r="V36" i="25"/>
  <c r="V33" i="25"/>
  <c r="V29" i="25"/>
  <c r="V25" i="25"/>
  <c r="T18" i="25"/>
  <c r="V15" i="25"/>
  <c r="V22" i="25"/>
  <c r="V20" i="25"/>
  <c r="V16" i="25"/>
  <c r="Z12" i="25"/>
  <c r="V34" i="25"/>
  <c r="V31" i="25"/>
  <c r="V27" i="25"/>
  <c r="X12" i="25"/>
  <c r="R34" i="26"/>
  <c r="X19" i="27"/>
  <c r="Z19" i="27" s="1"/>
  <c r="T12" i="27"/>
  <c r="Z48" i="27"/>
  <c r="N94" i="27"/>
  <c r="H93" i="27"/>
  <c r="L13" i="29"/>
  <c r="L34" i="32"/>
  <c r="Z12" i="22"/>
  <c r="F16" i="22"/>
  <c r="V16" i="22"/>
  <c r="F20" i="22"/>
  <c r="V20" i="22"/>
  <c r="R22" i="22"/>
  <c r="J24" i="22"/>
  <c r="J21" i="23"/>
  <c r="F27" i="23"/>
  <c r="F31" i="23"/>
  <c r="F34" i="23"/>
  <c r="J21" i="25"/>
  <c r="F27" i="25"/>
  <c r="F31" i="25"/>
  <c r="F34" i="25"/>
  <c r="J18" i="26"/>
  <c r="F24" i="26"/>
  <c r="V24" i="26"/>
  <c r="D93" i="27"/>
  <c r="L93" i="27" s="1"/>
  <c r="T93" i="27"/>
  <c r="X93" i="27" s="1"/>
  <c r="J15" i="28"/>
  <c r="H18" i="28"/>
  <c r="F21" i="28"/>
  <c r="V21" i="28"/>
  <c r="J25" i="28"/>
  <c r="R27" i="28"/>
  <c r="J29" i="28"/>
  <c r="R31" i="28"/>
  <c r="J33" i="28"/>
  <c r="R34" i="28"/>
  <c r="J36" i="28"/>
  <c r="N12" i="29"/>
  <c r="F18" i="29"/>
  <c r="V18" i="29"/>
  <c r="J22" i="29"/>
  <c r="R24" i="29"/>
  <c r="Z128" i="30"/>
  <c r="J16" i="31"/>
  <c r="R18" i="31"/>
  <c r="J20" i="31"/>
  <c r="V22" i="31"/>
  <c r="R15" i="32"/>
  <c r="P18" i="32"/>
  <c r="R25" i="32"/>
  <c r="J27" i="32"/>
  <c r="R29" i="32"/>
  <c r="J31" i="32"/>
  <c r="R33" i="32"/>
  <c r="J34" i="32"/>
  <c r="R36" i="32"/>
  <c r="D12" i="33"/>
  <c r="L27" i="33"/>
  <c r="N27" i="33" s="1"/>
  <c r="Z40" i="33"/>
  <c r="Z52" i="33"/>
  <c r="N36" i="36"/>
  <c r="N48" i="36"/>
  <c r="N87" i="36"/>
  <c r="N90" i="36"/>
  <c r="R15" i="22"/>
  <c r="P18" i="22"/>
  <c r="R25" i="22"/>
  <c r="J27" i="22"/>
  <c r="R29" i="22"/>
  <c r="J31" i="22"/>
  <c r="R33" i="22"/>
  <c r="J34" i="22"/>
  <c r="R36" i="22"/>
  <c r="F16" i="23"/>
  <c r="F20" i="23"/>
  <c r="R22" i="23"/>
  <c r="J24" i="23"/>
  <c r="F16" i="25"/>
  <c r="F20" i="25"/>
  <c r="R22" i="25"/>
  <c r="J24" i="25"/>
  <c r="J21" i="26"/>
  <c r="F27" i="26"/>
  <c r="V27" i="26"/>
  <c r="F31" i="26"/>
  <c r="V31" i="26"/>
  <c r="F34" i="26"/>
  <c r="V34" i="26"/>
  <c r="J18" i="28"/>
  <c r="F24" i="28"/>
  <c r="V24" i="28"/>
  <c r="F21" i="29"/>
  <c r="V21" i="29"/>
  <c r="J25" i="29"/>
  <c r="R27" i="29"/>
  <c r="J29" i="29"/>
  <c r="R31" i="29"/>
  <c r="J33" i="29"/>
  <c r="R34" i="29"/>
  <c r="J36" i="29"/>
  <c r="L128" i="30"/>
  <c r="N128" i="30" s="1"/>
  <c r="V15" i="31"/>
  <c r="T18" i="31"/>
  <c r="X18" i="31" s="1"/>
  <c r="R21" i="31"/>
  <c r="V25" i="31"/>
  <c r="V29" i="31"/>
  <c r="V33" i="31"/>
  <c r="V36" i="31"/>
  <c r="J16" i="32"/>
  <c r="R18" i="32"/>
  <c r="J20" i="32"/>
  <c r="V22" i="32"/>
  <c r="H12" i="33"/>
  <c r="N61" i="33"/>
  <c r="J16" i="22"/>
  <c r="R18" i="22"/>
  <c r="J20" i="22"/>
  <c r="F22" i="22"/>
  <c r="V22" i="22"/>
  <c r="L34" i="22"/>
  <c r="R25" i="23"/>
  <c r="J27" i="23"/>
  <c r="R29" i="23"/>
  <c r="J31" i="23"/>
  <c r="R33" i="23"/>
  <c r="J34" i="23"/>
  <c r="R36" i="23"/>
  <c r="X50" i="24"/>
  <c r="X16" i="25"/>
  <c r="P18" i="25"/>
  <c r="X20" i="25"/>
  <c r="L24" i="25"/>
  <c r="R25" i="25"/>
  <c r="J27" i="25"/>
  <c r="R29" i="25"/>
  <c r="J31" i="25"/>
  <c r="R33" i="25"/>
  <c r="J34" i="25"/>
  <c r="R36" i="25"/>
  <c r="Z12" i="26"/>
  <c r="V16" i="26"/>
  <c r="V20" i="26"/>
  <c r="J24" i="26"/>
  <c r="X34" i="26"/>
  <c r="X12" i="28"/>
  <c r="J21" i="28"/>
  <c r="F27" i="28"/>
  <c r="V27" i="28"/>
  <c r="F31" i="28"/>
  <c r="V31" i="28"/>
  <c r="F34" i="28"/>
  <c r="V34" i="28"/>
  <c r="R16" i="29"/>
  <c r="J18" i="29"/>
  <c r="R20" i="29"/>
  <c r="F24" i="29"/>
  <c r="V24" i="29"/>
  <c r="T12" i="30"/>
  <c r="L15" i="30"/>
  <c r="N15" i="30" s="1"/>
  <c r="X19" i="30"/>
  <c r="Z19" i="30" s="1"/>
  <c r="L23" i="30"/>
  <c r="X27" i="30"/>
  <c r="Z27" i="30" s="1"/>
  <c r="L31" i="30"/>
  <c r="N31" i="30" s="1"/>
  <c r="X35" i="30"/>
  <c r="Z35" i="30" s="1"/>
  <c r="L39" i="30"/>
  <c r="N39" i="30" s="1"/>
  <c r="X43" i="30"/>
  <c r="Z43" i="30" s="1"/>
  <c r="L47" i="30"/>
  <c r="N47" i="30" s="1"/>
  <c r="R24" i="31"/>
  <c r="V15" i="32"/>
  <c r="T18" i="32"/>
  <c r="R21" i="32"/>
  <c r="V25" i="32"/>
  <c r="F29" i="32"/>
  <c r="V29" i="32"/>
  <c r="F33" i="32"/>
  <c r="V33" i="32"/>
  <c r="F36" i="32"/>
  <c r="V36" i="32"/>
  <c r="N25" i="36"/>
  <c r="Z26" i="36"/>
  <c r="Z55" i="36"/>
  <c r="N57" i="36"/>
  <c r="L12" i="22"/>
  <c r="F15" i="22"/>
  <c r="V15" i="22"/>
  <c r="D18" i="22"/>
  <c r="T18" i="22"/>
  <c r="R21" i="22"/>
  <c r="F25" i="22"/>
  <c r="V25" i="22"/>
  <c r="F29" i="22"/>
  <c r="V29" i="22"/>
  <c r="F33" i="22"/>
  <c r="V33" i="22"/>
  <c r="F36" i="22"/>
  <c r="V36" i="22"/>
  <c r="J16" i="23"/>
  <c r="J20" i="23"/>
  <c r="F22" i="23"/>
  <c r="H12" i="24"/>
  <c r="X15" i="24"/>
  <c r="L19" i="24"/>
  <c r="J16" i="25"/>
  <c r="J20" i="25"/>
  <c r="F22" i="25"/>
  <c r="J27" i="26"/>
  <c r="J31" i="26"/>
  <c r="J34" i="26"/>
  <c r="X14" i="27"/>
  <c r="Z14" i="27" s="1"/>
  <c r="L18" i="27"/>
  <c r="N18" i="27" s="1"/>
  <c r="X22" i="27"/>
  <c r="Z22" i="27" s="1"/>
  <c r="L26" i="27"/>
  <c r="Z12" i="28"/>
  <c r="F16" i="28"/>
  <c r="V16" i="28"/>
  <c r="F20" i="28"/>
  <c r="V20" i="28"/>
  <c r="R22" i="28"/>
  <c r="J24" i="28"/>
  <c r="X12" i="29"/>
  <c r="J21" i="29"/>
  <c r="F27" i="29"/>
  <c r="V27" i="29"/>
  <c r="F31" i="29"/>
  <c r="V31" i="29"/>
  <c r="F34" i="29"/>
  <c r="V34" i="29"/>
  <c r="H18" i="31"/>
  <c r="V21" i="31"/>
  <c r="J25" i="31"/>
  <c r="R27" i="31"/>
  <c r="J29" i="31"/>
  <c r="R31" i="31"/>
  <c r="J33" i="31"/>
  <c r="R34" i="31"/>
  <c r="J36" i="31"/>
  <c r="N12" i="32"/>
  <c r="V18" i="32"/>
  <c r="J22" i="32"/>
  <c r="R24" i="32"/>
  <c r="N42" i="33"/>
  <c r="Z42" i="36"/>
  <c r="N80" i="36"/>
  <c r="N12" i="22"/>
  <c r="F18" i="22"/>
  <c r="V18" i="22"/>
  <c r="J22" i="22"/>
  <c r="R24" i="22"/>
  <c r="L12" i="23"/>
  <c r="F15" i="23"/>
  <c r="D18" i="23"/>
  <c r="R21" i="23"/>
  <c r="F25" i="23"/>
  <c r="F29" i="23"/>
  <c r="F33" i="23"/>
  <c r="F36" i="23"/>
  <c r="L12" i="25"/>
  <c r="F15" i="25"/>
  <c r="D18" i="25"/>
  <c r="R21" i="25"/>
  <c r="F25" i="25"/>
  <c r="F29" i="25"/>
  <c r="F33" i="25"/>
  <c r="F36" i="25"/>
  <c r="J16" i="26"/>
  <c r="J20" i="26"/>
  <c r="F22" i="26"/>
  <c r="V22" i="26"/>
  <c r="P18" i="28"/>
  <c r="R25" i="28"/>
  <c r="J27" i="28"/>
  <c r="R29" i="28"/>
  <c r="J31" i="28"/>
  <c r="R33" i="28"/>
  <c r="J34" i="28"/>
  <c r="R36" i="28"/>
  <c r="Z12" i="29"/>
  <c r="F16" i="29"/>
  <c r="V16" i="29"/>
  <c r="F20" i="29"/>
  <c r="V20" i="29"/>
  <c r="L21" i="29"/>
  <c r="R22" i="29"/>
  <c r="J24" i="29"/>
  <c r="X34" i="29"/>
  <c r="R16" i="31"/>
  <c r="J18" i="31"/>
  <c r="R20" i="31"/>
  <c r="V24" i="31"/>
  <c r="J15" i="32"/>
  <c r="H18" i="32"/>
  <c r="V21" i="32"/>
  <c r="J25" i="32"/>
  <c r="R27" i="32"/>
  <c r="J29" i="32"/>
  <c r="R31" i="32"/>
  <c r="J33" i="32"/>
  <c r="R34" i="32"/>
  <c r="J36" i="32"/>
  <c r="X28" i="33"/>
  <c r="Z17" i="36"/>
  <c r="J15" i="22"/>
  <c r="H18" i="22"/>
  <c r="F21" i="22"/>
  <c r="V21" i="22"/>
  <c r="J25" i="22"/>
  <c r="R27" i="22"/>
  <c r="J29" i="22"/>
  <c r="R31" i="22"/>
  <c r="J33" i="22"/>
  <c r="R34" i="22"/>
  <c r="J36" i="22"/>
  <c r="F18" i="23"/>
  <c r="J22" i="23"/>
  <c r="N12" i="25"/>
  <c r="F18" i="25"/>
  <c r="J22" i="25"/>
  <c r="R24" i="25"/>
  <c r="L12" i="26"/>
  <c r="F15" i="26"/>
  <c r="V15" i="26"/>
  <c r="D18" i="26"/>
  <c r="T18" i="26"/>
  <c r="F25" i="26"/>
  <c r="V25" i="26"/>
  <c r="F29" i="26"/>
  <c r="V29" i="26"/>
  <c r="F33" i="26"/>
  <c r="V33" i="26"/>
  <c r="F36" i="26"/>
  <c r="V36" i="26"/>
  <c r="J16" i="28"/>
  <c r="F22" i="28"/>
  <c r="V22" i="28"/>
  <c r="R15" i="29"/>
  <c r="P18" i="29"/>
  <c r="R25" i="29"/>
  <c r="J27" i="29"/>
  <c r="R29" i="29"/>
  <c r="J31" i="29"/>
  <c r="R33" i="29"/>
  <c r="J34" i="29"/>
  <c r="R36" i="29"/>
  <c r="V27" i="31"/>
  <c r="V31" i="31"/>
  <c r="V34" i="31"/>
  <c r="V24" i="32"/>
  <c r="D27" i="32"/>
  <c r="Z28" i="33"/>
  <c r="J94" i="36"/>
  <c r="J88" i="36"/>
  <c r="J82" i="36"/>
  <c r="J74" i="36"/>
  <c r="J60" i="36"/>
  <c r="J52" i="36"/>
  <c r="J46" i="36"/>
  <c r="J40" i="36"/>
  <c r="J28" i="36"/>
  <c r="J20" i="36"/>
  <c r="J79" i="36"/>
  <c r="J71" i="36"/>
  <c r="J57" i="36"/>
  <c r="J43" i="36"/>
  <c r="J39" i="36"/>
  <c r="J35" i="36"/>
  <c r="J27" i="36"/>
  <c r="J25" i="36"/>
  <c r="J84" i="36"/>
  <c r="J78" i="36"/>
  <c r="J70" i="36"/>
  <c r="J66" i="36"/>
  <c r="J62" i="36"/>
  <c r="J54" i="36"/>
  <c r="J48" i="36"/>
  <c r="J38" i="36"/>
  <c r="J34" i="36"/>
  <c r="J89" i="36"/>
  <c r="J81" i="36"/>
  <c r="J77" i="36"/>
  <c r="J73" i="36"/>
  <c r="J69" i="36"/>
  <c r="J65" i="36"/>
  <c r="J59" i="36"/>
  <c r="J51" i="36"/>
  <c r="J45" i="36"/>
  <c r="J37" i="36"/>
  <c r="J33" i="36"/>
  <c r="J19" i="36"/>
  <c r="J76" i="36"/>
  <c r="J68" i="36"/>
  <c r="J64" i="36"/>
  <c r="J56" i="36"/>
  <c r="J42" i="36"/>
  <c r="J32" i="36"/>
  <c r="J26" i="36"/>
  <c r="J87" i="36"/>
  <c r="J83" i="36"/>
  <c r="J75" i="36"/>
  <c r="J61" i="36"/>
  <c r="J53" i="36"/>
  <c r="J47" i="36"/>
  <c r="J31" i="36"/>
  <c r="J90" i="36"/>
  <c r="J80" i="36"/>
  <c r="J72" i="36"/>
  <c r="J58" i="36"/>
  <c r="J50" i="36"/>
  <c r="J44" i="36"/>
  <c r="J36" i="36"/>
  <c r="J30" i="36"/>
  <c r="H23" i="36"/>
  <c r="J85" i="36"/>
  <c r="J67" i="36"/>
  <c r="J63" i="36"/>
  <c r="J55" i="36"/>
  <c r="J49" i="36"/>
  <c r="J41" i="36"/>
  <c r="J29" i="36"/>
  <c r="J21" i="36"/>
  <c r="R16" i="22"/>
  <c r="J15" i="23"/>
  <c r="H18" i="23"/>
  <c r="J25" i="23"/>
  <c r="R27" i="23"/>
  <c r="J29" i="23"/>
  <c r="R31" i="23"/>
  <c r="J33" i="23"/>
  <c r="J15" i="25"/>
  <c r="H18" i="25"/>
  <c r="J25" i="25"/>
  <c r="R27" i="25"/>
  <c r="J29" i="25"/>
  <c r="R31" i="25"/>
  <c r="J33" i="25"/>
  <c r="N12" i="26"/>
  <c r="L12" i="28"/>
  <c r="F15" i="28"/>
  <c r="V15" i="28"/>
  <c r="D18" i="28"/>
  <c r="T18" i="28"/>
  <c r="F25" i="28"/>
  <c r="V25" i="28"/>
  <c r="F29" i="28"/>
  <c r="V29" i="28"/>
  <c r="F33" i="28"/>
  <c r="V33" i="28"/>
  <c r="J16" i="29"/>
  <c r="Z12" i="31"/>
  <c r="V16" i="31"/>
  <c r="F27" i="32"/>
  <c r="V27" i="32"/>
  <c r="F31" i="32"/>
  <c r="V31" i="32"/>
  <c r="Z37" i="33"/>
  <c r="N47" i="33"/>
  <c r="L62" i="33"/>
  <c r="N62" i="33" s="1"/>
  <c r="J18" i="34"/>
  <c r="F24" i="34"/>
  <c r="V24" i="34"/>
  <c r="J15" i="35"/>
  <c r="H18" i="35"/>
  <c r="F21" i="35"/>
  <c r="V21" i="35"/>
  <c r="J25" i="35"/>
  <c r="R27" i="35"/>
  <c r="J29" i="35"/>
  <c r="R31" i="35"/>
  <c r="J33" i="35"/>
  <c r="R34" i="35"/>
  <c r="J36" i="35"/>
  <c r="P12" i="36"/>
  <c r="V33" i="36"/>
  <c r="V37" i="36"/>
  <c r="V45" i="36"/>
  <c r="V53" i="36"/>
  <c r="V61" i="36"/>
  <c r="V65" i="36"/>
  <c r="V69" i="36"/>
  <c r="V73" i="36"/>
  <c r="V77" i="36"/>
  <c r="V81" i="36"/>
  <c r="R15" i="37"/>
  <c r="P18" i="37"/>
  <c r="R25" i="37"/>
  <c r="J27" i="37"/>
  <c r="R29" i="37"/>
  <c r="J31" i="37"/>
  <c r="R33" i="37"/>
  <c r="J34" i="37"/>
  <c r="R36" i="37"/>
  <c r="F16" i="38"/>
  <c r="V16" i="38"/>
  <c r="F20" i="38"/>
  <c r="V20" i="38"/>
  <c r="R22" i="38"/>
  <c r="J24" i="38"/>
  <c r="J34" i="38"/>
  <c r="Z15" i="39"/>
  <c r="R23" i="39"/>
  <c r="L27" i="39"/>
  <c r="V32" i="39"/>
  <c r="R43" i="39"/>
  <c r="Z54" i="39"/>
  <c r="N56" i="39"/>
  <c r="R57" i="39"/>
  <c r="Z88" i="39"/>
  <c r="X34" i="40"/>
  <c r="R27" i="41"/>
  <c r="N52" i="42"/>
  <c r="J18" i="35"/>
  <c r="V24" i="35"/>
  <c r="V26" i="36"/>
  <c r="V34" i="36"/>
  <c r="V38" i="36"/>
  <c r="V42" i="36"/>
  <c r="V54" i="36"/>
  <c r="V62" i="36"/>
  <c r="V66" i="36"/>
  <c r="V70" i="36"/>
  <c r="V78" i="36"/>
  <c r="J16" i="37"/>
  <c r="J20" i="37"/>
  <c r="R25" i="38"/>
  <c r="J27" i="38"/>
  <c r="R29" i="38"/>
  <c r="J31" i="38"/>
  <c r="R33" i="38"/>
  <c r="F36" i="38"/>
  <c r="R65" i="39"/>
  <c r="R48" i="39"/>
  <c r="R45" i="39"/>
  <c r="R37" i="39"/>
  <c r="R32" i="39"/>
  <c r="R86" i="39"/>
  <c r="R83" i="39"/>
  <c r="R80" i="39"/>
  <c r="R72" i="39"/>
  <c r="R59" i="39"/>
  <c r="R56" i="39"/>
  <c r="R51" i="39"/>
  <c r="R31" i="39"/>
  <c r="R92" i="39"/>
  <c r="R50" i="39"/>
  <c r="R47" i="39"/>
  <c r="R42" i="39"/>
  <c r="R30" i="39"/>
  <c r="R27" i="39"/>
  <c r="R22" i="39"/>
  <c r="R82" i="39"/>
  <c r="R77" i="39"/>
  <c r="R69" i="39"/>
  <c r="R61" i="39"/>
  <c r="R58" i="39"/>
  <c r="R53" i="39"/>
  <c r="R41" i="39"/>
  <c r="R29" i="39"/>
  <c r="R87" i="39"/>
  <c r="R76" i="39"/>
  <c r="R68" i="39"/>
  <c r="R64" i="39"/>
  <c r="R49" i="39"/>
  <c r="R44" i="39"/>
  <c r="R40" i="39"/>
  <c r="R36" i="39"/>
  <c r="R21" i="39"/>
  <c r="X12" i="39"/>
  <c r="R79" i="39"/>
  <c r="R75" i="39"/>
  <c r="R71" i="39"/>
  <c r="R67" i="39"/>
  <c r="R63" i="39"/>
  <c r="R60" i="39"/>
  <c r="R55" i="39"/>
  <c r="R52" i="39"/>
  <c r="R39" i="39"/>
  <c r="R35" i="39"/>
  <c r="R28" i="39"/>
  <c r="R85" i="39"/>
  <c r="R74" i="39"/>
  <c r="R66" i="39"/>
  <c r="V83" i="39"/>
  <c r="V59" i="39"/>
  <c r="V51" i="39"/>
  <c r="V47" i="39"/>
  <c r="V31" i="39"/>
  <c r="V27" i="39"/>
  <c r="V23" i="39"/>
  <c r="V92" i="39"/>
  <c r="V82" i="39"/>
  <c r="V58" i="39"/>
  <c r="V50" i="39"/>
  <c r="V42" i="39"/>
  <c r="V30" i="39"/>
  <c r="V87" i="39"/>
  <c r="V77" i="39"/>
  <c r="V69" i="39"/>
  <c r="V61" i="39"/>
  <c r="V53" i="39"/>
  <c r="V49" i="39"/>
  <c r="V41" i="39"/>
  <c r="V29" i="39"/>
  <c r="V21" i="39"/>
  <c r="V76" i="39"/>
  <c r="V68" i="39"/>
  <c r="V64" i="39"/>
  <c r="V60" i="39"/>
  <c r="V52" i="39"/>
  <c r="V44" i="39"/>
  <c r="V40" i="39"/>
  <c r="V36" i="39"/>
  <c r="V28" i="39"/>
  <c r="V79" i="39"/>
  <c r="V75" i="39"/>
  <c r="V71" i="39"/>
  <c r="V67" i="39"/>
  <c r="V63" i="39"/>
  <c r="V55" i="39"/>
  <c r="V43" i="39"/>
  <c r="V39" i="39"/>
  <c r="V35" i="39"/>
  <c r="V25" i="39"/>
  <c r="V88" i="39"/>
  <c r="V78" i="39"/>
  <c r="V74" i="39"/>
  <c r="V70" i="39"/>
  <c r="V66" i="39"/>
  <c r="V62" i="39"/>
  <c r="V54" i="39"/>
  <c r="V46" i="39"/>
  <c r="V38" i="39"/>
  <c r="V34" i="39"/>
  <c r="T25" i="39"/>
  <c r="V81" i="39"/>
  <c r="V73" i="39"/>
  <c r="V65" i="39"/>
  <c r="V57" i="39"/>
  <c r="N27" i="39"/>
  <c r="R38" i="39"/>
  <c r="R46" i="39"/>
  <c r="N15" i="42"/>
  <c r="L15" i="42"/>
  <c r="L42" i="33"/>
  <c r="X13" i="34"/>
  <c r="V16" i="34"/>
  <c r="V20" i="34"/>
  <c r="J24" i="34"/>
  <c r="X12" i="35"/>
  <c r="J21" i="35"/>
  <c r="F27" i="35"/>
  <c r="V27" i="35"/>
  <c r="F31" i="35"/>
  <c r="V31" i="35"/>
  <c r="F34" i="35"/>
  <c r="V34" i="35"/>
  <c r="V19" i="36"/>
  <c r="V27" i="36"/>
  <c r="V35" i="36"/>
  <c r="V39" i="36"/>
  <c r="V43" i="36"/>
  <c r="V51" i="36"/>
  <c r="V59" i="36"/>
  <c r="V71" i="36"/>
  <c r="V79" i="36"/>
  <c r="V89" i="36"/>
  <c r="L12" i="37"/>
  <c r="F15" i="37"/>
  <c r="V15" i="37"/>
  <c r="D18" i="37"/>
  <c r="T18" i="37"/>
  <c r="R21" i="37"/>
  <c r="F25" i="37"/>
  <c r="V25" i="37"/>
  <c r="F29" i="37"/>
  <c r="V29" i="37"/>
  <c r="F33" i="37"/>
  <c r="V33" i="37"/>
  <c r="F36" i="37"/>
  <c r="V36" i="37"/>
  <c r="J16" i="38"/>
  <c r="R18" i="38"/>
  <c r="J20" i="38"/>
  <c r="F22" i="38"/>
  <c r="V22" i="38"/>
  <c r="Z12" i="39"/>
  <c r="X14" i="39"/>
  <c r="V22" i="39"/>
  <c r="V80" i="39"/>
  <c r="R24" i="41"/>
  <c r="R21" i="41"/>
  <c r="R18" i="41"/>
  <c r="R36" i="41"/>
  <c r="R33" i="41"/>
  <c r="R29" i="41"/>
  <c r="R25" i="41"/>
  <c r="P18" i="41"/>
  <c r="R15" i="41"/>
  <c r="R22" i="41"/>
  <c r="X12" i="41"/>
  <c r="R20" i="41"/>
  <c r="R16" i="41"/>
  <c r="H27" i="41"/>
  <c r="N18" i="41"/>
  <c r="J84" i="42"/>
  <c r="J74" i="42"/>
  <c r="J66" i="42"/>
  <c r="J58" i="42"/>
  <c r="J50" i="42"/>
  <c r="J44" i="42"/>
  <c r="J28" i="42"/>
  <c r="H21" i="42"/>
  <c r="J79" i="42"/>
  <c r="J61" i="42"/>
  <c r="J55" i="42"/>
  <c r="J47" i="42"/>
  <c r="J41" i="42"/>
  <c r="J33" i="42"/>
  <c r="J27" i="42"/>
  <c r="J19" i="42"/>
  <c r="J88" i="42"/>
  <c r="J82" i="42"/>
  <c r="J76" i="42"/>
  <c r="J68" i="42"/>
  <c r="J52" i="42"/>
  <c r="J46" i="42"/>
  <c r="J38" i="42"/>
  <c r="J26" i="42"/>
  <c r="J18" i="42"/>
  <c r="J73" i="42"/>
  <c r="J65" i="42"/>
  <c r="J57" i="42"/>
  <c r="J49" i="42"/>
  <c r="J43" i="42"/>
  <c r="J37" i="42"/>
  <c r="J25" i="42"/>
  <c r="J23" i="42"/>
  <c r="J78" i="42"/>
  <c r="J72" i="42"/>
  <c r="J64" i="42"/>
  <c r="J60" i="42"/>
  <c r="J54" i="42"/>
  <c r="J40" i="42"/>
  <c r="J36" i="42"/>
  <c r="J32" i="42"/>
  <c r="J83" i="42"/>
  <c r="J75" i="42"/>
  <c r="J71" i="42"/>
  <c r="J67" i="42"/>
  <c r="J63" i="42"/>
  <c r="J59" i="42"/>
  <c r="J51" i="42"/>
  <c r="J45" i="42"/>
  <c r="J35" i="42"/>
  <c r="J31" i="42"/>
  <c r="J17" i="42"/>
  <c r="J70" i="42"/>
  <c r="J62" i="42"/>
  <c r="J56" i="42"/>
  <c r="J48" i="42"/>
  <c r="J42" i="42"/>
  <c r="J34" i="42"/>
  <c r="J30" i="42"/>
  <c r="J24" i="42"/>
  <c r="J77" i="42"/>
  <c r="J69" i="42"/>
  <c r="J53" i="42"/>
  <c r="J39" i="42"/>
  <c r="J29" i="42"/>
  <c r="R15" i="34"/>
  <c r="X16" i="34"/>
  <c r="P18" i="34"/>
  <c r="X20" i="34"/>
  <c r="R25" i="34"/>
  <c r="J27" i="34"/>
  <c r="R29" i="34"/>
  <c r="J31" i="34"/>
  <c r="R33" i="34"/>
  <c r="J34" i="34"/>
  <c r="R36" i="34"/>
  <c r="Z12" i="35"/>
  <c r="F16" i="35"/>
  <c r="V16" i="35"/>
  <c r="F20" i="35"/>
  <c r="V20" i="35"/>
  <c r="L21" i="35"/>
  <c r="R22" i="35"/>
  <c r="J24" i="35"/>
  <c r="X34" i="35"/>
  <c r="N16" i="36"/>
  <c r="X19" i="36"/>
  <c r="Z19" i="36" s="1"/>
  <c r="V20" i="36"/>
  <c r="V28" i="36"/>
  <c r="V40" i="36"/>
  <c r="V48" i="36"/>
  <c r="X51" i="36"/>
  <c r="Z51" i="36" s="1"/>
  <c r="V52" i="36"/>
  <c r="L53" i="36"/>
  <c r="N53" i="36" s="1"/>
  <c r="X59" i="36"/>
  <c r="Z59" i="36" s="1"/>
  <c r="V60" i="36"/>
  <c r="L61" i="36"/>
  <c r="V84" i="36"/>
  <c r="V94" i="36"/>
  <c r="N12" i="37"/>
  <c r="F18" i="37"/>
  <c r="V18" i="37"/>
  <c r="J22" i="37"/>
  <c r="R24" i="37"/>
  <c r="L12" i="38"/>
  <c r="F15" i="38"/>
  <c r="V15" i="38"/>
  <c r="L16" i="38"/>
  <c r="D18" i="38"/>
  <c r="T18" i="38"/>
  <c r="X18" i="38" s="1"/>
  <c r="L20" i="38"/>
  <c r="R21" i="38"/>
  <c r="X22" i="38"/>
  <c r="F25" i="38"/>
  <c r="V25" i="38"/>
  <c r="F29" i="38"/>
  <c r="V29" i="38"/>
  <c r="F33" i="38"/>
  <c r="V33" i="38"/>
  <c r="J36" i="38"/>
  <c r="Z14" i="39"/>
  <c r="R34" i="39"/>
  <c r="X37" i="39"/>
  <c r="Z37" i="39" s="1"/>
  <c r="X45" i="39"/>
  <c r="V56" i="39"/>
  <c r="V86" i="39"/>
  <c r="N24" i="42"/>
  <c r="Z54" i="42"/>
  <c r="F70" i="45"/>
  <c r="F77" i="45"/>
  <c r="F71" i="45"/>
  <c r="F66" i="45"/>
  <c r="F62" i="45"/>
  <c r="F58" i="45"/>
  <c r="F38" i="45"/>
  <c r="F26" i="45"/>
  <c r="F18" i="45"/>
  <c r="F65" i="45"/>
  <c r="F61" i="45"/>
  <c r="F57" i="45"/>
  <c r="F52" i="45"/>
  <c r="F49" i="45"/>
  <c r="F44" i="45"/>
  <c r="F41" i="45"/>
  <c r="F37" i="45"/>
  <c r="F33" i="45"/>
  <c r="F25" i="45"/>
  <c r="F36" i="45"/>
  <c r="F32" i="45"/>
  <c r="F23" i="45"/>
  <c r="F54" i="45"/>
  <c r="F51" i="45"/>
  <c r="F46" i="45"/>
  <c r="F43" i="45"/>
  <c r="F35" i="45"/>
  <c r="F31" i="45"/>
  <c r="F30" i="45"/>
  <c r="F17" i="45"/>
  <c r="F69" i="45"/>
  <c r="F64" i="45"/>
  <c r="F60" i="45"/>
  <c r="F56" i="45"/>
  <c r="F53" i="45"/>
  <c r="F48" i="45"/>
  <c r="F45" i="45"/>
  <c r="F40" i="45"/>
  <c r="F29" i="45"/>
  <c r="F24" i="45"/>
  <c r="F73" i="45"/>
  <c r="F68" i="45"/>
  <c r="F28" i="45"/>
  <c r="L12" i="45"/>
  <c r="F67" i="45"/>
  <c r="F63" i="45"/>
  <c r="F59" i="45"/>
  <c r="F55" i="45"/>
  <c r="F50" i="45"/>
  <c r="F47" i="45"/>
  <c r="F42" i="45"/>
  <c r="F39" i="45"/>
  <c r="F34" i="45"/>
  <c r="F27" i="45"/>
  <c r="D21" i="45"/>
  <c r="F19" i="45"/>
  <c r="Z23" i="45"/>
  <c r="Z40" i="45"/>
  <c r="J16" i="34"/>
  <c r="J20" i="34"/>
  <c r="R25" i="35"/>
  <c r="J27" i="35"/>
  <c r="R29" i="35"/>
  <c r="J31" i="35"/>
  <c r="R33" i="35"/>
  <c r="J34" i="35"/>
  <c r="R36" i="35"/>
  <c r="D12" i="36"/>
  <c r="V21" i="36"/>
  <c r="V25" i="36"/>
  <c r="V29" i="36"/>
  <c r="V41" i="36"/>
  <c r="V49" i="36"/>
  <c r="V57" i="36"/>
  <c r="V85" i="36"/>
  <c r="J15" i="37"/>
  <c r="H18" i="37"/>
  <c r="F21" i="37"/>
  <c r="V21" i="37"/>
  <c r="J25" i="37"/>
  <c r="R27" i="37"/>
  <c r="J29" i="37"/>
  <c r="R31" i="37"/>
  <c r="J33" i="37"/>
  <c r="R34" i="37"/>
  <c r="J36" i="37"/>
  <c r="F18" i="38"/>
  <c r="J22" i="38"/>
  <c r="R24" i="38"/>
  <c r="P27" i="38"/>
  <c r="R34" i="38"/>
  <c r="R33" i="39"/>
  <c r="V48" i="39"/>
  <c r="R73" i="39"/>
  <c r="X85" i="39"/>
  <c r="J16" i="35"/>
  <c r="J20" i="35"/>
  <c r="V22" i="35"/>
  <c r="V30" i="36"/>
  <c r="V46" i="36"/>
  <c r="V50" i="36"/>
  <c r="V58" i="36"/>
  <c r="V74" i="36"/>
  <c r="V82" i="36"/>
  <c r="V88" i="36"/>
  <c r="R16" i="37"/>
  <c r="J18" i="37"/>
  <c r="R20" i="37"/>
  <c r="F24" i="37"/>
  <c r="V24" i="37"/>
  <c r="J15" i="38"/>
  <c r="H18" i="38"/>
  <c r="F21" i="38"/>
  <c r="V21" i="38"/>
  <c r="J25" i="38"/>
  <c r="R27" i="38"/>
  <c r="J29" i="38"/>
  <c r="R31" i="38"/>
  <c r="J33" i="38"/>
  <c r="R36" i="38"/>
  <c r="D12" i="39"/>
  <c r="N18" i="39"/>
  <c r="X21" i="39"/>
  <c r="Z21" i="39" s="1"/>
  <c r="P25" i="39"/>
  <c r="V33" i="39"/>
  <c r="V37" i="39"/>
  <c r="V45" i="39"/>
  <c r="L47" i="39"/>
  <c r="X65" i="39"/>
  <c r="R70" i="39"/>
  <c r="N78" i="39"/>
  <c r="N88" i="39"/>
  <c r="L21" i="40"/>
  <c r="X24" i="41"/>
  <c r="Z78" i="42"/>
  <c r="Z83" i="42"/>
  <c r="Z48" i="45"/>
  <c r="Z56" i="45"/>
  <c r="L50" i="33"/>
  <c r="N50" i="33" s="1"/>
  <c r="L58" i="33"/>
  <c r="N58" i="33" s="1"/>
  <c r="N12" i="34"/>
  <c r="V18" i="34"/>
  <c r="J22" i="34"/>
  <c r="L12" i="35"/>
  <c r="F15" i="35"/>
  <c r="V15" i="35"/>
  <c r="L16" i="35"/>
  <c r="D18" i="35"/>
  <c r="T18" i="35"/>
  <c r="L20" i="35"/>
  <c r="R21" i="35"/>
  <c r="X22" i="35"/>
  <c r="F25" i="35"/>
  <c r="V25" i="35"/>
  <c r="F29" i="35"/>
  <c r="V29" i="35"/>
  <c r="F33" i="35"/>
  <c r="V33" i="35"/>
  <c r="F36" i="35"/>
  <c r="V36" i="35"/>
  <c r="V31" i="36"/>
  <c r="X46" i="36"/>
  <c r="Z46" i="36" s="1"/>
  <c r="V47" i="36"/>
  <c r="L48" i="36"/>
  <c r="V55" i="36"/>
  <c r="V63" i="36"/>
  <c r="V67" i="36"/>
  <c r="X74" i="36"/>
  <c r="Z74" i="36" s="1"/>
  <c r="V75" i="36"/>
  <c r="X82" i="36"/>
  <c r="Z82" i="36" s="1"/>
  <c r="V83" i="36"/>
  <c r="X88" i="36"/>
  <c r="Z88" i="36" s="1"/>
  <c r="X12" i="37"/>
  <c r="J21" i="37"/>
  <c r="F27" i="37"/>
  <c r="V27" i="37"/>
  <c r="F31" i="37"/>
  <c r="V31" i="37"/>
  <c r="F34" i="37"/>
  <c r="V34" i="37"/>
  <c r="R16" i="38"/>
  <c r="J18" i="38"/>
  <c r="R20" i="38"/>
  <c r="F24" i="38"/>
  <c r="V24" i="38"/>
  <c r="L29" i="38"/>
  <c r="L33" i="38"/>
  <c r="H12" i="39"/>
  <c r="N15" i="39"/>
  <c r="R25" i="39"/>
  <c r="N47" i="39"/>
  <c r="Z65" i="39"/>
  <c r="Z70" i="39"/>
  <c r="R81" i="39"/>
  <c r="R34" i="41"/>
  <c r="R78" i="42"/>
  <c r="R73" i="42"/>
  <c r="R65" i="42"/>
  <c r="R57" i="42"/>
  <c r="R54" i="42"/>
  <c r="R49" i="42"/>
  <c r="R37" i="42"/>
  <c r="R25" i="42"/>
  <c r="R83" i="42"/>
  <c r="R72" i="42"/>
  <c r="R64" i="42"/>
  <c r="R60" i="42"/>
  <c r="R45" i="42"/>
  <c r="R40" i="42"/>
  <c r="R36" i="42"/>
  <c r="R32" i="42"/>
  <c r="R17" i="42"/>
  <c r="R75" i="42"/>
  <c r="R71" i="42"/>
  <c r="R67" i="42"/>
  <c r="R63" i="42"/>
  <c r="R59" i="42"/>
  <c r="R56" i="42"/>
  <c r="R51" i="42"/>
  <c r="R48" i="42"/>
  <c r="R35" i="42"/>
  <c r="R31" i="42"/>
  <c r="R24" i="42"/>
  <c r="R70" i="42"/>
  <c r="R62" i="42"/>
  <c r="R42" i="42"/>
  <c r="R39" i="42"/>
  <c r="R34" i="42"/>
  <c r="R30" i="42"/>
  <c r="R21" i="42"/>
  <c r="R84" i="42"/>
  <c r="R77" i="42"/>
  <c r="R74" i="42"/>
  <c r="R69" i="42"/>
  <c r="R66" i="42"/>
  <c r="R58" i="42"/>
  <c r="R53" i="42"/>
  <c r="R50" i="42"/>
  <c r="R29" i="42"/>
  <c r="P21" i="42"/>
  <c r="R61" i="42"/>
  <c r="R44" i="42"/>
  <c r="R41" i="42"/>
  <c r="R33" i="42"/>
  <c r="R28" i="42"/>
  <c r="X12" i="42"/>
  <c r="R82" i="42"/>
  <c r="R79" i="42"/>
  <c r="R76" i="42"/>
  <c r="R68" i="42"/>
  <c r="R55" i="42"/>
  <c r="R52" i="42"/>
  <c r="R47" i="42"/>
  <c r="R27" i="42"/>
  <c r="R19" i="42"/>
  <c r="R88" i="42"/>
  <c r="R46" i="42"/>
  <c r="R43" i="42"/>
  <c r="R38" i="42"/>
  <c r="R26" i="42"/>
  <c r="R23" i="42"/>
  <c r="R18" i="42"/>
  <c r="Z13" i="45"/>
  <c r="T61" i="33"/>
  <c r="J15" i="34"/>
  <c r="H18" i="34"/>
  <c r="J25" i="34"/>
  <c r="R27" i="34"/>
  <c r="J29" i="34"/>
  <c r="R31" i="34"/>
  <c r="J33" i="34"/>
  <c r="N12" i="35"/>
  <c r="T23" i="36"/>
  <c r="V32" i="36"/>
  <c r="V36" i="36"/>
  <c r="V44" i="36"/>
  <c r="V56" i="36"/>
  <c r="V64" i="36"/>
  <c r="V68" i="36"/>
  <c r="V72" i="36"/>
  <c r="V76" i="36"/>
  <c r="V80" i="36"/>
  <c r="T87" i="36"/>
  <c r="V90" i="36"/>
  <c r="Z12" i="37"/>
  <c r="F16" i="37"/>
  <c r="V16" i="37"/>
  <c r="F27" i="38"/>
  <c r="V27" i="38"/>
  <c r="F31" i="38"/>
  <c r="V31" i="38"/>
  <c r="V36" i="38"/>
  <c r="R54" i="39"/>
  <c r="R78" i="39"/>
  <c r="R88" i="39"/>
  <c r="V21" i="40"/>
  <c r="V18" i="40"/>
  <c r="V36" i="40"/>
  <c r="V33" i="40"/>
  <c r="V29" i="40"/>
  <c r="V25" i="40"/>
  <c r="T18" i="40"/>
  <c r="V15" i="40"/>
  <c r="V22" i="40"/>
  <c r="V20" i="40"/>
  <c r="V16" i="40"/>
  <c r="Z12" i="40"/>
  <c r="V34" i="40"/>
  <c r="V31" i="40"/>
  <c r="V27" i="40"/>
  <c r="X12" i="40"/>
  <c r="Z60" i="45"/>
  <c r="Z64" i="45"/>
  <c r="J16" i="44"/>
  <c r="J20" i="44"/>
  <c r="J73" i="45"/>
  <c r="J18" i="45"/>
  <c r="T79" i="45"/>
  <c r="V79" i="45" s="1"/>
  <c r="J26" i="45"/>
  <c r="J38" i="45"/>
  <c r="J44" i="45"/>
  <c r="J52" i="45"/>
  <c r="J58" i="45"/>
  <c r="J62" i="45"/>
  <c r="J66" i="45"/>
  <c r="D12" i="51"/>
  <c r="L15" i="51"/>
  <c r="T32" i="55"/>
  <c r="Z33" i="56"/>
  <c r="X33" i="56"/>
  <c r="X41" i="56"/>
  <c r="Z41" i="56" s="1"/>
  <c r="Z16" i="89"/>
  <c r="T41" i="89"/>
  <c r="V24" i="41"/>
  <c r="V18" i="42"/>
  <c r="V26" i="42"/>
  <c r="F31" i="42"/>
  <c r="F35" i="42"/>
  <c r="V38" i="42"/>
  <c r="V46" i="42"/>
  <c r="F51" i="42"/>
  <c r="F54" i="42"/>
  <c r="V54" i="42"/>
  <c r="F59" i="42"/>
  <c r="F63" i="42"/>
  <c r="F67" i="42"/>
  <c r="F71" i="42"/>
  <c r="F75" i="42"/>
  <c r="F78" i="42"/>
  <c r="V78" i="42"/>
  <c r="V88" i="42"/>
  <c r="N12" i="43"/>
  <c r="L13" i="43"/>
  <c r="X15" i="43"/>
  <c r="F18" i="43"/>
  <c r="J22" i="43"/>
  <c r="L12" i="44"/>
  <c r="F15" i="44"/>
  <c r="V15" i="44"/>
  <c r="D18" i="44"/>
  <c r="T18" i="44"/>
  <c r="F25" i="44"/>
  <c r="V25" i="44"/>
  <c r="F29" i="44"/>
  <c r="V29" i="44"/>
  <c r="F33" i="44"/>
  <c r="V33" i="44"/>
  <c r="F36" i="44"/>
  <c r="V36" i="44"/>
  <c r="J19" i="45"/>
  <c r="V21" i="45"/>
  <c r="J27" i="45"/>
  <c r="V31" i="45"/>
  <c r="V35" i="45"/>
  <c r="J39" i="45"/>
  <c r="V43" i="45"/>
  <c r="J47" i="45"/>
  <c r="V51" i="45"/>
  <c r="J55" i="45"/>
  <c r="J59" i="45"/>
  <c r="J63" i="45"/>
  <c r="J67" i="45"/>
  <c r="Z70" i="45"/>
  <c r="R24" i="49"/>
  <c r="R21" i="49"/>
  <c r="R18" i="49"/>
  <c r="R36" i="49"/>
  <c r="R33" i="49"/>
  <c r="R29" i="49"/>
  <c r="R25" i="49"/>
  <c r="P18" i="49"/>
  <c r="R15" i="49"/>
  <c r="R22" i="49"/>
  <c r="X12" i="49"/>
  <c r="R20" i="49"/>
  <c r="R16" i="49"/>
  <c r="N15" i="51"/>
  <c r="Z65" i="51"/>
  <c r="X65" i="51"/>
  <c r="N67" i="51"/>
  <c r="L67" i="51"/>
  <c r="Z83" i="51"/>
  <c r="X83" i="51"/>
  <c r="T85" i="39"/>
  <c r="V85" i="39" s="1"/>
  <c r="F16" i="40"/>
  <c r="F20" i="40"/>
  <c r="R22" i="40"/>
  <c r="J24" i="40"/>
  <c r="J21" i="41"/>
  <c r="F27" i="41"/>
  <c r="V27" i="41"/>
  <c r="F31" i="41"/>
  <c r="V31" i="41"/>
  <c r="F34" i="41"/>
  <c r="V34" i="41"/>
  <c r="V19" i="42"/>
  <c r="F23" i="42"/>
  <c r="V23" i="42"/>
  <c r="V27" i="42"/>
  <c r="F32" i="42"/>
  <c r="F36" i="42"/>
  <c r="F40" i="42"/>
  <c r="F43" i="42"/>
  <c r="V43" i="42"/>
  <c r="V47" i="42"/>
  <c r="V55" i="42"/>
  <c r="F60" i="42"/>
  <c r="F64" i="42"/>
  <c r="F72" i="42"/>
  <c r="V79" i="42"/>
  <c r="J15" i="43"/>
  <c r="H18" i="43"/>
  <c r="F21" i="43"/>
  <c r="V21" i="43"/>
  <c r="J25" i="43"/>
  <c r="R27" i="43"/>
  <c r="J29" i="43"/>
  <c r="R31" i="43"/>
  <c r="J33" i="43"/>
  <c r="R34" i="43"/>
  <c r="J36" i="43"/>
  <c r="N12" i="44"/>
  <c r="X15" i="44"/>
  <c r="F18" i="44"/>
  <c r="V18" i="44"/>
  <c r="J22" i="44"/>
  <c r="R24" i="44"/>
  <c r="N12" i="45"/>
  <c r="L13" i="45"/>
  <c r="N13" i="45" s="1"/>
  <c r="H21" i="45"/>
  <c r="J21" i="45" s="1"/>
  <c r="V24" i="45"/>
  <c r="J28" i="45"/>
  <c r="V32" i="45"/>
  <c r="J34" i="45"/>
  <c r="V36" i="45"/>
  <c r="V40" i="45"/>
  <c r="J42" i="45"/>
  <c r="V48" i="45"/>
  <c r="J50" i="45"/>
  <c r="V56" i="45"/>
  <c r="V60" i="45"/>
  <c r="V64" i="45"/>
  <c r="J68" i="45"/>
  <c r="N34" i="46"/>
  <c r="L34" i="46"/>
  <c r="T27" i="47"/>
  <c r="Z18" i="47"/>
  <c r="X24" i="49"/>
  <c r="L33" i="50"/>
  <c r="Z23" i="51"/>
  <c r="Z27" i="51"/>
  <c r="Z15" i="52"/>
  <c r="X15" i="52"/>
  <c r="Z22" i="53"/>
  <c r="X22" i="53"/>
  <c r="P22" i="54"/>
  <c r="X78" i="39"/>
  <c r="Z78" i="39" s="1"/>
  <c r="L80" i="39"/>
  <c r="N80" i="39" s="1"/>
  <c r="L86" i="39"/>
  <c r="N86" i="39" s="1"/>
  <c r="R15" i="40"/>
  <c r="P18" i="40"/>
  <c r="R25" i="40"/>
  <c r="J27" i="40"/>
  <c r="R29" i="40"/>
  <c r="J31" i="40"/>
  <c r="R33" i="40"/>
  <c r="J34" i="40"/>
  <c r="R36" i="40"/>
  <c r="Z12" i="41"/>
  <c r="F16" i="41"/>
  <c r="V16" i="41"/>
  <c r="F20" i="41"/>
  <c r="V20" i="41"/>
  <c r="J24" i="41"/>
  <c r="Z12" i="42"/>
  <c r="F25" i="42"/>
  <c r="V28" i="42"/>
  <c r="F37" i="42"/>
  <c r="V44" i="42"/>
  <c r="F49" i="42"/>
  <c r="F52" i="42"/>
  <c r="V52" i="42"/>
  <c r="F57" i="42"/>
  <c r="F65" i="42"/>
  <c r="F68" i="42"/>
  <c r="V68" i="42"/>
  <c r="F73" i="42"/>
  <c r="F76" i="42"/>
  <c r="V76" i="42"/>
  <c r="P81" i="42"/>
  <c r="F82" i="42"/>
  <c r="V82" i="42"/>
  <c r="R16" i="43"/>
  <c r="J18" i="43"/>
  <c r="F24" i="43"/>
  <c r="J15" i="44"/>
  <c r="H18" i="44"/>
  <c r="F21" i="44"/>
  <c r="V21" i="44"/>
  <c r="J25" i="44"/>
  <c r="R27" i="44"/>
  <c r="J29" i="44"/>
  <c r="R31" i="44"/>
  <c r="J33" i="44"/>
  <c r="R34" i="44"/>
  <c r="J36" i="44"/>
  <c r="P12" i="45"/>
  <c r="V17" i="45"/>
  <c r="V25" i="45"/>
  <c r="J29" i="45"/>
  <c r="V33" i="45"/>
  <c r="V37" i="45"/>
  <c r="V41" i="45"/>
  <c r="J45" i="45"/>
  <c r="V49" i="45"/>
  <c r="J53" i="45"/>
  <c r="V57" i="45"/>
  <c r="V61" i="45"/>
  <c r="V65" i="45"/>
  <c r="J69" i="45"/>
  <c r="V75" i="45"/>
  <c r="L25" i="46"/>
  <c r="L29" i="46"/>
  <c r="L33" i="46"/>
  <c r="L15" i="50"/>
  <c r="L29" i="50"/>
  <c r="L22" i="51"/>
  <c r="N22" i="51" s="1"/>
  <c r="N30" i="51"/>
  <c r="L30" i="51"/>
  <c r="Z29" i="52"/>
  <c r="X29" i="52"/>
  <c r="N34" i="52"/>
  <c r="L34" i="52"/>
  <c r="F24" i="54"/>
  <c r="D16" i="54"/>
  <c r="L12" i="54"/>
  <c r="F26" i="54"/>
  <c r="F31" i="54"/>
  <c r="F14" i="54"/>
  <c r="F29" i="54"/>
  <c r="F28" i="54"/>
  <c r="F16" i="54"/>
  <c r="F22" i="54"/>
  <c r="F20" i="54"/>
  <c r="F18" i="54"/>
  <c r="L46" i="57"/>
  <c r="N46" i="57" s="1"/>
  <c r="H85" i="39"/>
  <c r="J16" i="40"/>
  <c r="J20" i="40"/>
  <c r="F22" i="40"/>
  <c r="J27" i="41"/>
  <c r="J31" i="41"/>
  <c r="J34" i="41"/>
  <c r="F18" i="42"/>
  <c r="F26" i="42"/>
  <c r="V29" i="42"/>
  <c r="F33" i="42"/>
  <c r="V33" i="42"/>
  <c r="F38" i="42"/>
  <c r="F41" i="42"/>
  <c r="V41" i="42"/>
  <c r="F46" i="42"/>
  <c r="V53" i="42"/>
  <c r="F61" i="42"/>
  <c r="V61" i="42"/>
  <c r="V69" i="42"/>
  <c r="V77" i="42"/>
  <c r="F88" i="42"/>
  <c r="J21" i="43"/>
  <c r="F27" i="43"/>
  <c r="F31" i="43"/>
  <c r="F34" i="43"/>
  <c r="J18" i="44"/>
  <c r="F24" i="44"/>
  <c r="V24" i="44"/>
  <c r="V18" i="45"/>
  <c r="J24" i="45"/>
  <c r="V26" i="45"/>
  <c r="J30" i="45"/>
  <c r="V38" i="45"/>
  <c r="J40" i="45"/>
  <c r="V46" i="45"/>
  <c r="J48" i="45"/>
  <c r="V54" i="45"/>
  <c r="J56" i="45"/>
  <c r="V58" i="45"/>
  <c r="J60" i="45"/>
  <c r="V62" i="45"/>
  <c r="J64" i="45"/>
  <c r="V66" i="45"/>
  <c r="J71" i="45"/>
  <c r="J77" i="45"/>
  <c r="X48" i="48"/>
  <c r="Z48" i="48" s="1"/>
  <c r="P47" i="48"/>
  <c r="X47" i="48" s="1"/>
  <c r="Z47" i="48" s="1"/>
  <c r="R34" i="49"/>
  <c r="N15" i="50"/>
  <c r="H18" i="50"/>
  <c r="H12" i="51"/>
  <c r="N14" i="51"/>
  <c r="L14" i="51"/>
  <c r="Z25" i="52"/>
  <c r="X25" i="52"/>
  <c r="X15" i="53"/>
  <c r="P18" i="53"/>
  <c r="X83" i="62"/>
  <c r="P82" i="62"/>
  <c r="L12" i="40"/>
  <c r="F15" i="40"/>
  <c r="D18" i="40"/>
  <c r="R21" i="40"/>
  <c r="F25" i="40"/>
  <c r="F29" i="40"/>
  <c r="F33" i="40"/>
  <c r="F36" i="40"/>
  <c r="J16" i="41"/>
  <c r="J20" i="41"/>
  <c r="F22" i="41"/>
  <c r="V22" i="41"/>
  <c r="X15" i="42"/>
  <c r="F19" i="42"/>
  <c r="D21" i="42"/>
  <c r="T21" i="42"/>
  <c r="F27" i="42"/>
  <c r="V30" i="42"/>
  <c r="V34" i="42"/>
  <c r="V42" i="42"/>
  <c r="F47" i="42"/>
  <c r="F50" i="42"/>
  <c r="V50" i="42"/>
  <c r="F55" i="42"/>
  <c r="F58" i="42"/>
  <c r="V58" i="42"/>
  <c r="V62" i="42"/>
  <c r="F66" i="42"/>
  <c r="V66" i="42"/>
  <c r="V70" i="42"/>
  <c r="F74" i="42"/>
  <c r="V74" i="42"/>
  <c r="F79" i="42"/>
  <c r="T81" i="42"/>
  <c r="F84" i="42"/>
  <c r="V84" i="42"/>
  <c r="X13" i="43"/>
  <c r="F16" i="43"/>
  <c r="F20" i="43"/>
  <c r="J24" i="43"/>
  <c r="X12" i="44"/>
  <c r="J21" i="44"/>
  <c r="F27" i="44"/>
  <c r="V27" i="44"/>
  <c r="F31" i="44"/>
  <c r="V31" i="44"/>
  <c r="F34" i="44"/>
  <c r="V34" i="44"/>
  <c r="J17" i="45"/>
  <c r="V19" i="45"/>
  <c r="V23" i="45"/>
  <c r="V27" i="45"/>
  <c r="J31" i="45"/>
  <c r="J35" i="45"/>
  <c r="V39" i="45"/>
  <c r="J43" i="45"/>
  <c r="V47" i="45"/>
  <c r="J51" i="45"/>
  <c r="V55" i="45"/>
  <c r="V59" i="45"/>
  <c r="V63" i="45"/>
  <c r="V67" i="45"/>
  <c r="J70" i="45"/>
  <c r="F43" i="48"/>
  <c r="F38" i="48"/>
  <c r="F35" i="48"/>
  <c r="F31" i="48"/>
  <c r="F27" i="48"/>
  <c r="F47" i="48"/>
  <c r="F30" i="48"/>
  <c r="F26" i="48"/>
  <c r="F45" i="48"/>
  <c r="F40" i="48"/>
  <c r="F37" i="48"/>
  <c r="F25" i="48"/>
  <c r="F20" i="48"/>
  <c r="F24" i="48"/>
  <c r="F17" i="48"/>
  <c r="F48" i="48"/>
  <c r="F42" i="48"/>
  <c r="F39" i="48"/>
  <c r="F34" i="48"/>
  <c r="F23" i="48"/>
  <c r="D17" i="48"/>
  <c r="F52" i="48"/>
  <c r="F29" i="48"/>
  <c r="F22" i="48"/>
  <c r="F44" i="48"/>
  <c r="F41" i="48"/>
  <c r="F36" i="48"/>
  <c r="F33" i="48"/>
  <c r="F21" i="48"/>
  <c r="F28" i="48"/>
  <c r="Z34" i="48"/>
  <c r="R27" i="49"/>
  <c r="Z22" i="51"/>
  <c r="Z26" i="51"/>
  <c r="X26" i="51"/>
  <c r="Z30" i="51"/>
  <c r="L47" i="51"/>
  <c r="N47" i="51" s="1"/>
  <c r="Z61" i="51"/>
  <c r="N63" i="51"/>
  <c r="J27" i="52"/>
  <c r="J31" i="52"/>
  <c r="J24" i="52"/>
  <c r="J21" i="52"/>
  <c r="J36" i="52"/>
  <c r="J18" i="52"/>
  <c r="J29" i="52"/>
  <c r="J25" i="52"/>
  <c r="H18" i="52"/>
  <c r="J15" i="52"/>
  <c r="J22" i="52"/>
  <c r="N12" i="52"/>
  <c r="J34" i="52"/>
  <c r="L12" i="52"/>
  <c r="L15" i="52"/>
  <c r="D18" i="52"/>
  <c r="N20" i="53"/>
  <c r="L20" i="53"/>
  <c r="X87" i="39"/>
  <c r="Z87" i="39" s="1"/>
  <c r="N12" i="40"/>
  <c r="X15" i="40"/>
  <c r="F18" i="40"/>
  <c r="J22" i="40"/>
  <c r="R24" i="40"/>
  <c r="X25" i="40"/>
  <c r="X29" i="40"/>
  <c r="X33" i="40"/>
  <c r="L12" i="41"/>
  <c r="F15" i="41"/>
  <c r="V15" i="41"/>
  <c r="L16" i="41"/>
  <c r="D18" i="41"/>
  <c r="T18" i="41"/>
  <c r="L20" i="41"/>
  <c r="X22" i="41"/>
  <c r="F25" i="41"/>
  <c r="V25" i="41"/>
  <c r="F29" i="41"/>
  <c r="V29" i="41"/>
  <c r="F33" i="41"/>
  <c r="V33" i="41"/>
  <c r="F36" i="41"/>
  <c r="V36" i="41"/>
  <c r="L12" i="42"/>
  <c r="N12" i="42" s="1"/>
  <c r="F21" i="42"/>
  <c r="V21" i="42"/>
  <c r="F28" i="42"/>
  <c r="V31" i="42"/>
  <c r="V35" i="42"/>
  <c r="F39" i="42"/>
  <c r="V39" i="42"/>
  <c r="F44" i="42"/>
  <c r="X50" i="42"/>
  <c r="Z50" i="42" s="1"/>
  <c r="V51" i="42"/>
  <c r="L52" i="42"/>
  <c r="X58" i="42"/>
  <c r="Z58" i="42" s="1"/>
  <c r="V59" i="42"/>
  <c r="V63" i="42"/>
  <c r="X66" i="42"/>
  <c r="Z66" i="42" s="1"/>
  <c r="V67" i="42"/>
  <c r="L68" i="42"/>
  <c r="N68" i="42" s="1"/>
  <c r="V71" i="42"/>
  <c r="X74" i="42"/>
  <c r="Z74" i="42" s="1"/>
  <c r="V75" i="42"/>
  <c r="L76" i="42"/>
  <c r="N76" i="42" s="1"/>
  <c r="F81" i="42"/>
  <c r="L82" i="42"/>
  <c r="N82" i="42" s="1"/>
  <c r="X84" i="42"/>
  <c r="Z84" i="42" s="1"/>
  <c r="X16" i="43"/>
  <c r="X20" i="43"/>
  <c r="L24" i="43"/>
  <c r="J27" i="43"/>
  <c r="J31" i="43"/>
  <c r="J34" i="43"/>
  <c r="Z12" i="44"/>
  <c r="V16" i="44"/>
  <c r="L21" i="44"/>
  <c r="J24" i="44"/>
  <c r="X34" i="44"/>
  <c r="L17" i="45"/>
  <c r="N17" i="45" s="1"/>
  <c r="X23" i="45"/>
  <c r="V28" i="45"/>
  <c r="J32" i="45"/>
  <c r="J36" i="45"/>
  <c r="V44" i="45"/>
  <c r="J46" i="45"/>
  <c r="V52" i="45"/>
  <c r="J54" i="45"/>
  <c r="V68" i="45"/>
  <c r="L70" i="45"/>
  <c r="N70" i="45" s="1"/>
  <c r="V71" i="45"/>
  <c r="V73" i="45"/>
  <c r="V77" i="45"/>
  <c r="N13" i="47"/>
  <c r="L13" i="47"/>
  <c r="H12" i="48"/>
  <c r="L13" i="48"/>
  <c r="N13" i="48" s="1"/>
  <c r="Z20" i="48"/>
  <c r="Z36" i="48"/>
  <c r="X36" i="48"/>
  <c r="L38" i="48"/>
  <c r="N38" i="48" s="1"/>
  <c r="Z14" i="51"/>
  <c r="X18" i="51"/>
  <c r="Z18" i="51" s="1"/>
  <c r="J15" i="40"/>
  <c r="H18" i="40"/>
  <c r="J25" i="40"/>
  <c r="R27" i="40"/>
  <c r="J29" i="40"/>
  <c r="R31" i="40"/>
  <c r="J33" i="40"/>
  <c r="F24" i="42"/>
  <c r="V24" i="42"/>
  <c r="F29" i="42"/>
  <c r="V32" i="42"/>
  <c r="V36" i="42"/>
  <c r="V40" i="42"/>
  <c r="F48" i="42"/>
  <c r="V48" i="42"/>
  <c r="F53" i="42"/>
  <c r="F56" i="42"/>
  <c r="V56" i="42"/>
  <c r="V60" i="42"/>
  <c r="V64" i="42"/>
  <c r="F69" i="42"/>
  <c r="H81" i="42"/>
  <c r="J16" i="43"/>
  <c r="J27" i="44"/>
  <c r="J31" i="44"/>
  <c r="J23" i="45"/>
  <c r="J25" i="45"/>
  <c r="V29" i="45"/>
  <c r="J33" i="45"/>
  <c r="J37" i="45"/>
  <c r="J41" i="45"/>
  <c r="V45" i="45"/>
  <c r="J49" i="45"/>
  <c r="V53" i="45"/>
  <c r="J57" i="45"/>
  <c r="J61" i="45"/>
  <c r="J65" i="45"/>
  <c r="V69" i="45"/>
  <c r="L15" i="46"/>
  <c r="Z44" i="48"/>
  <c r="X44" i="48"/>
  <c r="R31" i="49"/>
  <c r="N46" i="51"/>
  <c r="N74" i="51"/>
  <c r="J15" i="46"/>
  <c r="H18" i="46"/>
  <c r="F21" i="46"/>
  <c r="V21" i="46"/>
  <c r="J25" i="46"/>
  <c r="R27" i="46"/>
  <c r="J29" i="46"/>
  <c r="R31" i="46"/>
  <c r="J33" i="46"/>
  <c r="R34" i="46"/>
  <c r="J36" i="46"/>
  <c r="F18" i="47"/>
  <c r="J22" i="47"/>
  <c r="R24" i="47"/>
  <c r="R25" i="48"/>
  <c r="R34" i="48"/>
  <c r="R37" i="48"/>
  <c r="R42" i="48"/>
  <c r="R45" i="48"/>
  <c r="R48" i="48"/>
  <c r="J18" i="49"/>
  <c r="F24" i="49"/>
  <c r="V24" i="49"/>
  <c r="F21" i="50"/>
  <c r="V21" i="50"/>
  <c r="J25" i="50"/>
  <c r="R27" i="50"/>
  <c r="J29" i="50"/>
  <c r="R31" i="50"/>
  <c r="J33" i="50"/>
  <c r="R34" i="50"/>
  <c r="J36" i="50"/>
  <c r="P12" i="51"/>
  <c r="V15" i="52"/>
  <c r="T18" i="52"/>
  <c r="R21" i="52"/>
  <c r="V25" i="52"/>
  <c r="V29" i="52"/>
  <c r="J31" i="54"/>
  <c r="J28" i="54"/>
  <c r="J22" i="54"/>
  <c r="J18" i="54"/>
  <c r="J14" i="54"/>
  <c r="N12" i="54"/>
  <c r="J29" i="54"/>
  <c r="J26" i="54"/>
  <c r="J20" i="54"/>
  <c r="J16" i="54"/>
  <c r="H16" i="54"/>
  <c r="N18" i="56"/>
  <c r="Z45" i="56"/>
  <c r="P16" i="57"/>
  <c r="X14" i="57"/>
  <c r="N18" i="57"/>
  <c r="N30" i="57"/>
  <c r="Z32" i="57"/>
  <c r="X32" i="57"/>
  <c r="V30" i="58"/>
  <c r="Z55" i="58"/>
  <c r="X55" i="58"/>
  <c r="R16" i="46"/>
  <c r="J18" i="46"/>
  <c r="R20" i="46"/>
  <c r="F24" i="46"/>
  <c r="V24" i="46"/>
  <c r="J15" i="47"/>
  <c r="H18" i="47"/>
  <c r="F21" i="47"/>
  <c r="V21" i="47"/>
  <c r="J25" i="47"/>
  <c r="R27" i="47"/>
  <c r="J29" i="47"/>
  <c r="R31" i="47"/>
  <c r="J33" i="47"/>
  <c r="R34" i="47"/>
  <c r="J36" i="47"/>
  <c r="R17" i="48"/>
  <c r="R26" i="48"/>
  <c r="R30" i="48"/>
  <c r="J21" i="49"/>
  <c r="F27" i="49"/>
  <c r="V27" i="49"/>
  <c r="F31" i="49"/>
  <c r="V31" i="49"/>
  <c r="F34" i="49"/>
  <c r="V34" i="49"/>
  <c r="R16" i="50"/>
  <c r="J18" i="50"/>
  <c r="R20" i="50"/>
  <c r="F24" i="50"/>
  <c r="V24" i="50"/>
  <c r="T12" i="51"/>
  <c r="V18" i="52"/>
  <c r="R24" i="52"/>
  <c r="R31" i="52"/>
  <c r="R33" i="52"/>
  <c r="F36" i="52"/>
  <c r="X13" i="53"/>
  <c r="V26" i="54"/>
  <c r="V28" i="54"/>
  <c r="V29" i="54"/>
  <c r="L18" i="55"/>
  <c r="N23" i="55"/>
  <c r="N31" i="56"/>
  <c r="N35" i="56"/>
  <c r="L35" i="56"/>
  <c r="N39" i="56"/>
  <c r="N43" i="56"/>
  <c r="L43" i="56"/>
  <c r="P57" i="58"/>
  <c r="X19" i="58"/>
  <c r="Z19" i="58" s="1"/>
  <c r="X12" i="46"/>
  <c r="J21" i="46"/>
  <c r="F27" i="46"/>
  <c r="V27" i="46"/>
  <c r="F31" i="46"/>
  <c r="V31" i="46"/>
  <c r="F34" i="46"/>
  <c r="V34" i="46"/>
  <c r="R16" i="47"/>
  <c r="J18" i="47"/>
  <c r="R20" i="47"/>
  <c r="F24" i="47"/>
  <c r="V24" i="47"/>
  <c r="T12" i="48"/>
  <c r="R20" i="48"/>
  <c r="R27" i="48"/>
  <c r="R31" i="48"/>
  <c r="R35" i="48"/>
  <c r="R40" i="48"/>
  <c r="R43" i="48"/>
  <c r="Z12" i="49"/>
  <c r="F16" i="49"/>
  <c r="V16" i="49"/>
  <c r="F20" i="49"/>
  <c r="V20" i="49"/>
  <c r="J24" i="49"/>
  <c r="X12" i="50"/>
  <c r="J21" i="50"/>
  <c r="F27" i="50"/>
  <c r="V27" i="50"/>
  <c r="F31" i="50"/>
  <c r="V31" i="50"/>
  <c r="F34" i="50"/>
  <c r="V34" i="50"/>
  <c r="R27" i="52"/>
  <c r="T16" i="54"/>
  <c r="X16" i="54" s="1"/>
  <c r="Z12" i="54"/>
  <c r="X12" i="54"/>
  <c r="V14" i="54"/>
  <c r="Z28" i="56"/>
  <c r="Z51" i="56"/>
  <c r="X51" i="56"/>
  <c r="N41" i="57"/>
  <c r="R47" i="48"/>
  <c r="P50" i="48"/>
  <c r="R50" i="48" s="1"/>
  <c r="V34" i="52"/>
  <c r="V31" i="52"/>
  <c r="V24" i="52"/>
  <c r="V33" i="52"/>
  <c r="N18" i="55"/>
  <c r="X16" i="56"/>
  <c r="P53" i="56"/>
  <c r="T60" i="56"/>
  <c r="N34" i="57"/>
  <c r="L34" i="57"/>
  <c r="Z16" i="61"/>
  <c r="T40" i="61"/>
  <c r="P18" i="46"/>
  <c r="R25" i="46"/>
  <c r="J27" i="46"/>
  <c r="R29" i="46"/>
  <c r="J31" i="46"/>
  <c r="R33" i="46"/>
  <c r="J34" i="46"/>
  <c r="R36" i="46"/>
  <c r="X13" i="47"/>
  <c r="F20" i="47"/>
  <c r="R22" i="47"/>
  <c r="J24" i="47"/>
  <c r="X13" i="48"/>
  <c r="Z13" i="48" s="1"/>
  <c r="R21" i="48"/>
  <c r="R33" i="48"/>
  <c r="R38" i="48"/>
  <c r="R41" i="48"/>
  <c r="J16" i="49"/>
  <c r="J20" i="49"/>
  <c r="F22" i="49"/>
  <c r="V22" i="49"/>
  <c r="R15" i="50"/>
  <c r="P18" i="50"/>
  <c r="R25" i="50"/>
  <c r="J27" i="50"/>
  <c r="R29" i="50"/>
  <c r="J31" i="50"/>
  <c r="R33" i="50"/>
  <c r="J34" i="50"/>
  <c r="R36" i="50"/>
  <c r="X12" i="52"/>
  <c r="F27" i="52"/>
  <c r="V27" i="52"/>
  <c r="R34" i="52"/>
  <c r="X16" i="53"/>
  <c r="Z23" i="55"/>
  <c r="H53" i="57"/>
  <c r="N16" i="57"/>
  <c r="V64" i="58"/>
  <c r="V59" i="58"/>
  <c r="V57" i="58"/>
  <c r="V53" i="58"/>
  <c r="V49" i="58"/>
  <c r="V45" i="58"/>
  <c r="V52" i="58"/>
  <c r="V48" i="58"/>
  <c r="V36" i="58"/>
  <c r="V47" i="58"/>
  <c r="V61" i="58"/>
  <c r="V55" i="58"/>
  <c r="V41" i="58"/>
  <c r="V33" i="58"/>
  <c r="V39" i="58"/>
  <c r="T16" i="58"/>
  <c r="X16" i="58" s="1"/>
  <c r="V27" i="58"/>
  <c r="V25" i="58"/>
  <c r="V24" i="58"/>
  <c r="V28" i="58"/>
  <c r="V26" i="58"/>
  <c r="V23" i="58"/>
  <c r="V37" i="58"/>
  <c r="V22" i="58"/>
  <c r="V18" i="58"/>
  <c r="V14" i="58"/>
  <c r="V43" i="58"/>
  <c r="V40" i="58"/>
  <c r="V35" i="58"/>
  <c r="V21" i="58"/>
  <c r="V51" i="58"/>
  <c r="V50" i="58"/>
  <c r="V34" i="58"/>
  <c r="V20" i="58"/>
  <c r="Z12" i="58"/>
  <c r="V46" i="58"/>
  <c r="V44" i="58"/>
  <c r="V42" i="58"/>
  <c r="V31" i="58"/>
  <c r="V29" i="58"/>
  <c r="V19" i="58"/>
  <c r="X12" i="58"/>
  <c r="Z18" i="58"/>
  <c r="V32" i="58"/>
  <c r="J16" i="46"/>
  <c r="R18" i="46"/>
  <c r="F22" i="46"/>
  <c r="V22" i="46"/>
  <c r="R15" i="47"/>
  <c r="X16" i="47"/>
  <c r="P18" i="47"/>
  <c r="X20" i="47"/>
  <c r="L24" i="47"/>
  <c r="R25" i="47"/>
  <c r="J27" i="47"/>
  <c r="R29" i="47"/>
  <c r="J31" i="47"/>
  <c r="R33" i="47"/>
  <c r="J34" i="47"/>
  <c r="R36" i="47"/>
  <c r="R15" i="48"/>
  <c r="R19" i="48"/>
  <c r="R22" i="48"/>
  <c r="R52" i="48"/>
  <c r="L12" i="49"/>
  <c r="F15" i="49"/>
  <c r="V15" i="49"/>
  <c r="D18" i="49"/>
  <c r="T18" i="49"/>
  <c r="F25" i="49"/>
  <c r="V25" i="49"/>
  <c r="F29" i="49"/>
  <c r="V29" i="49"/>
  <c r="F33" i="49"/>
  <c r="V33" i="49"/>
  <c r="F36" i="49"/>
  <c r="V36" i="49"/>
  <c r="J16" i="50"/>
  <c r="R18" i="50"/>
  <c r="F22" i="50"/>
  <c r="V22" i="50"/>
  <c r="D81" i="51"/>
  <c r="L81" i="51" s="1"/>
  <c r="N81" i="51" s="1"/>
  <c r="T81" i="51"/>
  <c r="Z12" i="52"/>
  <c r="F16" i="52"/>
  <c r="V16" i="52"/>
  <c r="F20" i="52"/>
  <c r="V20" i="52"/>
  <c r="R22" i="52"/>
  <c r="R36" i="52"/>
  <c r="F24" i="53"/>
  <c r="F21" i="53"/>
  <c r="F18" i="53"/>
  <c r="F16" i="53"/>
  <c r="X20" i="53"/>
  <c r="L24" i="53"/>
  <c r="F25" i="53"/>
  <c r="F33" i="53"/>
  <c r="F34" i="53"/>
  <c r="X21" i="55"/>
  <c r="Z21" i="55" s="1"/>
  <c r="Z16" i="56"/>
  <c r="N33" i="56"/>
  <c r="N41" i="56"/>
  <c r="N38" i="57"/>
  <c r="V16" i="58"/>
  <c r="L12" i="46"/>
  <c r="F15" i="46"/>
  <c r="V15" i="46"/>
  <c r="D18" i="46"/>
  <c r="T18" i="46"/>
  <c r="F25" i="46"/>
  <c r="V25" i="46"/>
  <c r="F29" i="46"/>
  <c r="V29" i="46"/>
  <c r="F33" i="46"/>
  <c r="V33" i="46"/>
  <c r="J16" i="47"/>
  <c r="R23" i="48"/>
  <c r="R36" i="48"/>
  <c r="R39" i="48"/>
  <c r="H47" i="48"/>
  <c r="N12" i="49"/>
  <c r="L12" i="50"/>
  <c r="F15" i="50"/>
  <c r="V15" i="50"/>
  <c r="D18" i="50"/>
  <c r="T18" i="50"/>
  <c r="F25" i="50"/>
  <c r="V25" i="50"/>
  <c r="F29" i="50"/>
  <c r="V29" i="50"/>
  <c r="F33" i="50"/>
  <c r="V33" i="50"/>
  <c r="F34" i="52"/>
  <c r="F31" i="52"/>
  <c r="R15" i="52"/>
  <c r="P18" i="52"/>
  <c r="R25" i="52"/>
  <c r="J18" i="53"/>
  <c r="J36" i="53"/>
  <c r="J33" i="53"/>
  <c r="J29" i="53"/>
  <c r="J25" i="53"/>
  <c r="H18" i="53"/>
  <c r="J15" i="53"/>
  <c r="J22" i="53"/>
  <c r="N12" i="53"/>
  <c r="J34" i="53"/>
  <c r="J31" i="53"/>
  <c r="J27" i="53"/>
  <c r="D18" i="53"/>
  <c r="F20" i="53"/>
  <c r="V16" i="54"/>
  <c r="V18" i="54"/>
  <c r="V20" i="54"/>
  <c r="V22" i="54"/>
  <c r="X28" i="54"/>
  <c r="Z28" i="54" s="1"/>
  <c r="X16" i="55"/>
  <c r="P28" i="55"/>
  <c r="N19" i="55"/>
  <c r="L18" i="56"/>
  <c r="Z28" i="57"/>
  <c r="N32" i="57"/>
  <c r="Z48" i="57"/>
  <c r="Z16" i="63"/>
  <c r="T34" i="63"/>
  <c r="J19" i="55"/>
  <c r="F22" i="55"/>
  <c r="J19" i="56"/>
  <c r="R22" i="56"/>
  <c r="J25" i="56"/>
  <c r="F26" i="56"/>
  <c r="J29" i="56"/>
  <c r="F30" i="56"/>
  <c r="R31" i="56"/>
  <c r="F33" i="56"/>
  <c r="R34" i="56"/>
  <c r="J35" i="56"/>
  <c r="F38" i="56"/>
  <c r="R39" i="56"/>
  <c r="F41" i="56"/>
  <c r="R42" i="56"/>
  <c r="J43" i="56"/>
  <c r="F46" i="56"/>
  <c r="J49" i="56"/>
  <c r="F51" i="56"/>
  <c r="V51" i="56"/>
  <c r="J55" i="56"/>
  <c r="F57" i="56"/>
  <c r="V57" i="56"/>
  <c r="J16" i="57"/>
  <c r="J24" i="57"/>
  <c r="F25" i="57"/>
  <c r="F29" i="57"/>
  <c r="F32" i="57"/>
  <c r="J34" i="57"/>
  <c r="F37" i="57"/>
  <c r="J40" i="57"/>
  <c r="R45" i="57"/>
  <c r="J46" i="57"/>
  <c r="F49" i="57"/>
  <c r="F55" i="57"/>
  <c r="H16" i="58"/>
  <c r="F19" i="58"/>
  <c r="J23" i="58"/>
  <c r="F24" i="58"/>
  <c r="F27" i="58"/>
  <c r="F28" i="58"/>
  <c r="F37" i="58"/>
  <c r="F38" i="58"/>
  <c r="X47" i="58"/>
  <c r="R51" i="58"/>
  <c r="N16" i="59"/>
  <c r="H48" i="59"/>
  <c r="X42" i="59"/>
  <c r="Z42" i="59" s="1"/>
  <c r="N28" i="60"/>
  <c r="F92" i="62"/>
  <c r="F85" i="62"/>
  <c r="F78" i="62"/>
  <c r="F57" i="62"/>
  <c r="F54" i="62"/>
  <c r="F49" i="62"/>
  <c r="F46" i="62"/>
  <c r="F82" i="62"/>
  <c r="F77" i="62"/>
  <c r="F72" i="62"/>
  <c r="F80" i="62"/>
  <c r="F67" i="62"/>
  <c r="F63" i="62"/>
  <c r="F59" i="62"/>
  <c r="F56" i="62"/>
  <c r="F51" i="62"/>
  <c r="F48" i="62"/>
  <c r="F74" i="62"/>
  <c r="F71" i="62"/>
  <c r="F89" i="62"/>
  <c r="F83" i="62"/>
  <c r="F70" i="62"/>
  <c r="F66" i="62"/>
  <c r="F62" i="62"/>
  <c r="F58" i="62"/>
  <c r="F53" i="62"/>
  <c r="F50" i="62"/>
  <c r="F45" i="62"/>
  <c r="F87" i="62"/>
  <c r="F76" i="62"/>
  <c r="F73" i="62"/>
  <c r="F69" i="62"/>
  <c r="F65" i="62"/>
  <c r="F61" i="62"/>
  <c r="F68" i="62"/>
  <c r="F52" i="62"/>
  <c r="F40" i="62"/>
  <c r="F37" i="62"/>
  <c r="F25" i="62"/>
  <c r="F60" i="62"/>
  <c r="F47" i="62"/>
  <c r="F44" i="62"/>
  <c r="F36" i="62"/>
  <c r="F24" i="62"/>
  <c r="F19" i="62"/>
  <c r="F79" i="62"/>
  <c r="F42" i="62"/>
  <c r="F39" i="62"/>
  <c r="F35" i="62"/>
  <c r="F30" i="62"/>
  <c r="F23" i="62"/>
  <c r="F16" i="62"/>
  <c r="F34" i="62"/>
  <c r="F22" i="62"/>
  <c r="D16" i="62"/>
  <c r="F41" i="62"/>
  <c r="F33" i="62"/>
  <c r="F29" i="62"/>
  <c r="F21" i="62"/>
  <c r="F64" i="62"/>
  <c r="F32" i="62"/>
  <c r="F28" i="62"/>
  <c r="F20" i="62"/>
  <c r="L12" i="62"/>
  <c r="T16" i="62"/>
  <c r="Z14" i="62"/>
  <c r="X14" i="62"/>
  <c r="F26" i="62"/>
  <c r="F43" i="62"/>
  <c r="Z45" i="69"/>
  <c r="X45" i="69"/>
  <c r="X28" i="73"/>
  <c r="Z28" i="73" s="1"/>
  <c r="R36" i="53"/>
  <c r="J22" i="55"/>
  <c r="J26" i="55"/>
  <c r="J32" i="55"/>
  <c r="J26" i="56"/>
  <c r="F27" i="56"/>
  <c r="J30" i="56"/>
  <c r="J38" i="56"/>
  <c r="J46" i="56"/>
  <c r="F47" i="56"/>
  <c r="R48" i="56"/>
  <c r="J19" i="57"/>
  <c r="J25" i="57"/>
  <c r="F26" i="57"/>
  <c r="J29" i="57"/>
  <c r="J37" i="57"/>
  <c r="F41" i="57"/>
  <c r="J43" i="57"/>
  <c r="J49" i="57"/>
  <c r="F51" i="57"/>
  <c r="V51" i="57"/>
  <c r="J55" i="57"/>
  <c r="F57" i="57"/>
  <c r="V57" i="57"/>
  <c r="J16" i="58"/>
  <c r="J24" i="58"/>
  <c r="F25" i="58"/>
  <c r="J26" i="58"/>
  <c r="J27" i="58"/>
  <c r="Z43" i="58"/>
  <c r="Z47" i="58"/>
  <c r="Z19" i="59"/>
  <c r="L29" i="59"/>
  <c r="N29" i="59" s="1"/>
  <c r="F47" i="60"/>
  <c r="F40" i="60"/>
  <c r="F32" i="60"/>
  <c r="F29" i="60"/>
  <c r="F25" i="60"/>
  <c r="F35" i="60"/>
  <c r="F24" i="60"/>
  <c r="F19" i="60"/>
  <c r="F31" i="60"/>
  <c r="F23" i="60"/>
  <c r="F16" i="60"/>
  <c r="F34" i="60"/>
  <c r="F22" i="60"/>
  <c r="D16" i="60"/>
  <c r="F44" i="60"/>
  <c r="F38" i="60"/>
  <c r="F33" i="60"/>
  <c r="F28" i="60"/>
  <c r="F21" i="60"/>
  <c r="F42" i="60"/>
  <c r="F36" i="60"/>
  <c r="F20" i="60"/>
  <c r="L12" i="60"/>
  <c r="T16" i="60"/>
  <c r="Z14" i="60"/>
  <c r="X14" i="60"/>
  <c r="F27" i="60"/>
  <c r="N32" i="60"/>
  <c r="L32" i="60"/>
  <c r="J77" i="62"/>
  <c r="J67" i="62"/>
  <c r="J63" i="62"/>
  <c r="J59" i="62"/>
  <c r="J51" i="62"/>
  <c r="J80" i="62"/>
  <c r="J74" i="62"/>
  <c r="J56" i="62"/>
  <c r="J48" i="62"/>
  <c r="J89" i="62"/>
  <c r="J83" i="62"/>
  <c r="J71" i="62"/>
  <c r="J53" i="62"/>
  <c r="J45" i="62"/>
  <c r="J76" i="62"/>
  <c r="J70" i="62"/>
  <c r="J66" i="62"/>
  <c r="J62" i="62"/>
  <c r="J58" i="62"/>
  <c r="J50" i="62"/>
  <c r="J87" i="62"/>
  <c r="J79" i="62"/>
  <c r="J73" i="62"/>
  <c r="J69" i="62"/>
  <c r="J65" i="62"/>
  <c r="J61" i="62"/>
  <c r="J55" i="62"/>
  <c r="J47" i="62"/>
  <c r="J68" i="62"/>
  <c r="J64" i="62"/>
  <c r="J60" i="62"/>
  <c r="J52" i="62"/>
  <c r="J72" i="62"/>
  <c r="J44" i="62"/>
  <c r="J42" i="62"/>
  <c r="J36" i="62"/>
  <c r="J30" i="62"/>
  <c r="J24" i="62"/>
  <c r="J16" i="62"/>
  <c r="J92" i="62"/>
  <c r="J46" i="62"/>
  <c r="J39" i="62"/>
  <c r="J35" i="62"/>
  <c r="J23" i="62"/>
  <c r="H16" i="62"/>
  <c r="J57" i="62"/>
  <c r="J49" i="62"/>
  <c r="J34" i="62"/>
  <c r="J22" i="62"/>
  <c r="J85" i="62"/>
  <c r="J41" i="62"/>
  <c r="J33" i="62"/>
  <c r="J29" i="62"/>
  <c r="J21" i="62"/>
  <c r="J54" i="62"/>
  <c r="J38" i="62"/>
  <c r="J32" i="62"/>
  <c r="J28" i="62"/>
  <c r="J20" i="62"/>
  <c r="J18" i="62"/>
  <c r="J14" i="62"/>
  <c r="N12" i="62"/>
  <c r="J31" i="62"/>
  <c r="J27" i="62"/>
  <c r="Z18" i="62"/>
  <c r="X18" i="62"/>
  <c r="J26" i="62"/>
  <c r="F38" i="62"/>
  <c r="J43" i="62"/>
  <c r="X18" i="71"/>
  <c r="Z18" i="71" s="1"/>
  <c r="R24" i="56"/>
  <c r="J27" i="56"/>
  <c r="F31" i="56"/>
  <c r="R32" i="56"/>
  <c r="J33" i="56"/>
  <c r="F36" i="56"/>
  <c r="R37" i="56"/>
  <c r="F39" i="56"/>
  <c r="R40" i="56"/>
  <c r="J41" i="56"/>
  <c r="F44" i="56"/>
  <c r="R45" i="56"/>
  <c r="J47" i="56"/>
  <c r="J51" i="56"/>
  <c r="R53" i="56"/>
  <c r="J57" i="56"/>
  <c r="R60" i="56"/>
  <c r="F14" i="57"/>
  <c r="F18" i="57"/>
  <c r="J26" i="57"/>
  <c r="F27" i="57"/>
  <c r="F30" i="57"/>
  <c r="J32" i="57"/>
  <c r="F35" i="57"/>
  <c r="F38" i="57"/>
  <c r="F47" i="57"/>
  <c r="F64" i="58"/>
  <c r="F57" i="58"/>
  <c r="F45" i="58"/>
  <c r="F52" i="58"/>
  <c r="F41" i="58"/>
  <c r="F36" i="58"/>
  <c r="F33" i="58"/>
  <c r="F47" i="58"/>
  <c r="F44" i="58"/>
  <c r="F61" i="58"/>
  <c r="F55" i="58"/>
  <c r="F50" i="58"/>
  <c r="F46" i="58"/>
  <c r="F30" i="58"/>
  <c r="F26" i="58"/>
  <c r="J19" i="58"/>
  <c r="J25" i="58"/>
  <c r="N29" i="58"/>
  <c r="F39" i="58"/>
  <c r="F49" i="58"/>
  <c r="F52" i="59"/>
  <c r="F46" i="59"/>
  <c r="F41" i="59"/>
  <c r="F21" i="59"/>
  <c r="F50" i="59"/>
  <c r="F44" i="59"/>
  <c r="F35" i="59"/>
  <c r="F32" i="59"/>
  <c r="F28" i="59"/>
  <c r="F20" i="59"/>
  <c r="L12" i="59"/>
  <c r="F43" i="59"/>
  <c r="F31" i="59"/>
  <c r="F27" i="59"/>
  <c r="F18" i="59"/>
  <c r="F14" i="59"/>
  <c r="F37" i="59"/>
  <c r="F34" i="59"/>
  <c r="F30" i="59"/>
  <c r="F26" i="59"/>
  <c r="F55" i="59"/>
  <c r="F48" i="59"/>
  <c r="F40" i="59"/>
  <c r="F25" i="59"/>
  <c r="F36" i="59"/>
  <c r="F24" i="59"/>
  <c r="F19" i="59"/>
  <c r="Z16" i="59"/>
  <c r="T48" i="59"/>
  <c r="Z18" i="59"/>
  <c r="F29" i="59"/>
  <c r="J24" i="60"/>
  <c r="J16" i="60"/>
  <c r="J31" i="60"/>
  <c r="J23" i="60"/>
  <c r="H16" i="60"/>
  <c r="J44" i="60"/>
  <c r="J38" i="60"/>
  <c r="J34" i="60"/>
  <c r="J28" i="60"/>
  <c r="J22" i="60"/>
  <c r="J33" i="60"/>
  <c r="J21" i="60"/>
  <c r="J42" i="60"/>
  <c r="J36" i="60"/>
  <c r="J30" i="60"/>
  <c r="J20" i="60"/>
  <c r="J18" i="60"/>
  <c r="J14" i="60"/>
  <c r="N12" i="60"/>
  <c r="J27" i="60"/>
  <c r="Z18" i="60"/>
  <c r="X18" i="60"/>
  <c r="J32" i="60"/>
  <c r="J37" i="62"/>
  <c r="J82" i="62"/>
  <c r="D12" i="66"/>
  <c r="J57" i="57"/>
  <c r="J47" i="58"/>
  <c r="J44" i="58"/>
  <c r="J38" i="58"/>
  <c r="J32" i="58"/>
  <c r="J28" i="58"/>
  <c r="J61" i="58"/>
  <c r="J55" i="58"/>
  <c r="J51" i="58"/>
  <c r="J59" i="58"/>
  <c r="J53" i="58"/>
  <c r="J49" i="58"/>
  <c r="J43" i="58"/>
  <c r="J37" i="58"/>
  <c r="J29" i="58"/>
  <c r="J33" i="58"/>
  <c r="J39" i="58"/>
  <c r="F40" i="58"/>
  <c r="F48" i="58"/>
  <c r="J64" i="58"/>
  <c r="N26" i="64"/>
  <c r="L26" i="64"/>
  <c r="R24" i="53"/>
  <c r="X14" i="54"/>
  <c r="D16" i="55"/>
  <c r="R19" i="55"/>
  <c r="F21" i="55"/>
  <c r="R22" i="55"/>
  <c r="J23" i="55"/>
  <c r="D16" i="56"/>
  <c r="R19" i="56"/>
  <c r="J21" i="56"/>
  <c r="F22" i="56"/>
  <c r="R26" i="56"/>
  <c r="R30" i="56"/>
  <c r="J31" i="56"/>
  <c r="F34" i="56"/>
  <c r="R35" i="56"/>
  <c r="F37" i="56"/>
  <c r="V37" i="56"/>
  <c r="R38" i="56"/>
  <c r="J39" i="56"/>
  <c r="F42" i="56"/>
  <c r="R43" i="56"/>
  <c r="F45" i="56"/>
  <c r="V45" i="56"/>
  <c r="R46" i="56"/>
  <c r="V49" i="56"/>
  <c r="F53" i="56"/>
  <c r="V53" i="56"/>
  <c r="V55" i="56"/>
  <c r="F60" i="56"/>
  <c r="V60" i="56"/>
  <c r="N12" i="57"/>
  <c r="J14" i="57"/>
  <c r="J18" i="57"/>
  <c r="J20" i="57"/>
  <c r="F21" i="57"/>
  <c r="F28" i="57"/>
  <c r="J30" i="57"/>
  <c r="F33" i="57"/>
  <c r="F36" i="57"/>
  <c r="J38" i="57"/>
  <c r="J44" i="57"/>
  <c r="F45" i="57"/>
  <c r="R46" i="57"/>
  <c r="F48" i="57"/>
  <c r="V48" i="57"/>
  <c r="R49" i="57"/>
  <c r="R55" i="57"/>
  <c r="L12" i="58"/>
  <c r="X14" i="58"/>
  <c r="F20" i="58"/>
  <c r="L29" i="58"/>
  <c r="J30" i="58"/>
  <c r="J31" i="58"/>
  <c r="F42" i="58"/>
  <c r="F43" i="58"/>
  <c r="J48" i="58"/>
  <c r="N33" i="59"/>
  <c r="F39" i="59"/>
  <c r="J26" i="60"/>
  <c r="N30" i="60"/>
  <c r="J35" i="60"/>
  <c r="R29" i="61"/>
  <c r="R25" i="61"/>
  <c r="R16" i="61"/>
  <c r="R32" i="61"/>
  <c r="R28" i="61"/>
  <c r="R24" i="61"/>
  <c r="P16" i="61"/>
  <c r="R44" i="61"/>
  <c r="R38" i="61"/>
  <c r="R23" i="61"/>
  <c r="R34" i="61"/>
  <c r="R31" i="61"/>
  <c r="R27" i="61"/>
  <c r="R22" i="61"/>
  <c r="R21" i="61"/>
  <c r="R18" i="61"/>
  <c r="R14" i="61"/>
  <c r="R42" i="61"/>
  <c r="R36" i="61"/>
  <c r="R33" i="61"/>
  <c r="R20" i="61"/>
  <c r="X12" i="61"/>
  <c r="L16" i="61"/>
  <c r="D40" i="61"/>
  <c r="Z19" i="61"/>
  <c r="R30" i="61"/>
  <c r="N38" i="61"/>
  <c r="L38" i="61"/>
  <c r="J25" i="62"/>
  <c r="F31" i="62"/>
  <c r="Z38" i="62"/>
  <c r="X38" i="62"/>
  <c r="J75" i="62"/>
  <c r="N18" i="65"/>
  <c r="V21" i="53"/>
  <c r="R27" i="53"/>
  <c r="R31" i="53"/>
  <c r="R34" i="53"/>
  <c r="R16" i="54"/>
  <c r="R20" i="54"/>
  <c r="R26" i="54"/>
  <c r="F16" i="55"/>
  <c r="V16" i="55"/>
  <c r="V22" i="55"/>
  <c r="R26" i="55"/>
  <c r="J28" i="55"/>
  <c r="R32" i="55"/>
  <c r="J35" i="55"/>
  <c r="F16" i="56"/>
  <c r="V16" i="56"/>
  <c r="J22" i="56"/>
  <c r="F23" i="56"/>
  <c r="V26" i="56"/>
  <c r="R27" i="56"/>
  <c r="J28" i="56"/>
  <c r="V30" i="56"/>
  <c r="J34" i="56"/>
  <c r="V38" i="56"/>
  <c r="J42" i="56"/>
  <c r="V46" i="56"/>
  <c r="R47" i="56"/>
  <c r="J48" i="56"/>
  <c r="D16" i="57"/>
  <c r="T16" i="57"/>
  <c r="R19" i="57"/>
  <c r="J21" i="57"/>
  <c r="F22" i="57"/>
  <c r="V25" i="57"/>
  <c r="R26" i="57"/>
  <c r="V29" i="57"/>
  <c r="J33" i="57"/>
  <c r="V37" i="57"/>
  <c r="F42" i="57"/>
  <c r="R43" i="57"/>
  <c r="J45" i="57"/>
  <c r="V49" i="57"/>
  <c r="F53" i="57"/>
  <c r="V53" i="57"/>
  <c r="V55" i="57"/>
  <c r="F60" i="57"/>
  <c r="V60" i="57"/>
  <c r="N12" i="58"/>
  <c r="J14" i="58"/>
  <c r="R16" i="58"/>
  <c r="J18" i="58"/>
  <c r="J20" i="58"/>
  <c r="F21" i="58"/>
  <c r="J34" i="58"/>
  <c r="F35" i="58"/>
  <c r="X36" i="58"/>
  <c r="R38" i="58"/>
  <c r="J40" i="58"/>
  <c r="J41" i="58"/>
  <c r="J42" i="58"/>
  <c r="J46" i="58"/>
  <c r="F51" i="58"/>
  <c r="R42" i="59"/>
  <c r="R25" i="59"/>
  <c r="R16" i="59"/>
  <c r="R36" i="59"/>
  <c r="R33" i="59"/>
  <c r="R29" i="59"/>
  <c r="R24" i="59"/>
  <c r="P16" i="59"/>
  <c r="R52" i="59"/>
  <c r="R46" i="59"/>
  <c r="R39" i="59"/>
  <c r="R23" i="59"/>
  <c r="R38" i="59"/>
  <c r="R35" i="59"/>
  <c r="R22" i="59"/>
  <c r="R41" i="59"/>
  <c r="R21" i="59"/>
  <c r="R18" i="59"/>
  <c r="R14" i="59"/>
  <c r="R50" i="59"/>
  <c r="R44" i="59"/>
  <c r="R37" i="59"/>
  <c r="R32" i="59"/>
  <c r="R28" i="59"/>
  <c r="R20" i="59"/>
  <c r="N19" i="59"/>
  <c r="R34" i="59"/>
  <c r="F38" i="59"/>
  <c r="R40" i="59"/>
  <c r="F42" i="59"/>
  <c r="R43" i="59"/>
  <c r="N46" i="59"/>
  <c r="L46" i="59"/>
  <c r="J29" i="60"/>
  <c r="J47" i="60"/>
  <c r="V44" i="61"/>
  <c r="V38" i="61"/>
  <c r="V32" i="61"/>
  <c r="V28" i="61"/>
  <c r="V24" i="61"/>
  <c r="V31" i="61"/>
  <c r="V27" i="61"/>
  <c r="V23" i="61"/>
  <c r="V34" i="61"/>
  <c r="V22" i="61"/>
  <c r="V18" i="61"/>
  <c r="V14" i="61"/>
  <c r="V33" i="61"/>
  <c r="V21" i="61"/>
  <c r="V47" i="61"/>
  <c r="V42" i="61"/>
  <c r="V40" i="61"/>
  <c r="V36" i="61"/>
  <c r="V20" i="61"/>
  <c r="Z12" i="61"/>
  <c r="V35" i="61"/>
  <c r="V19" i="61"/>
  <c r="R26" i="61"/>
  <c r="V30" i="61"/>
  <c r="R35" i="61"/>
  <c r="R47" i="61"/>
  <c r="F14" i="62"/>
  <c r="D38" i="63"/>
  <c r="R16" i="53"/>
  <c r="X12" i="55"/>
  <c r="H16" i="55"/>
  <c r="F19" i="55"/>
  <c r="F24" i="55"/>
  <c r="X12" i="56"/>
  <c r="H16" i="56"/>
  <c r="F19" i="56"/>
  <c r="V19" i="56"/>
  <c r="R20" i="56"/>
  <c r="J23" i="56"/>
  <c r="F24" i="56"/>
  <c r="V27" i="56"/>
  <c r="F32" i="56"/>
  <c r="R33" i="56"/>
  <c r="F35" i="56"/>
  <c r="V35" i="56"/>
  <c r="R36" i="56"/>
  <c r="J37" i="56"/>
  <c r="F40" i="56"/>
  <c r="R41" i="56"/>
  <c r="V43" i="56"/>
  <c r="R44" i="56"/>
  <c r="J45" i="56"/>
  <c r="R51" i="56"/>
  <c r="J53" i="56"/>
  <c r="F16" i="57"/>
  <c r="V16" i="57"/>
  <c r="J22" i="57"/>
  <c r="F23" i="57"/>
  <c r="V26" i="57"/>
  <c r="R27" i="57"/>
  <c r="J28" i="57"/>
  <c r="F31" i="57"/>
  <c r="R32" i="57"/>
  <c r="F34" i="57"/>
  <c r="V34" i="57"/>
  <c r="R35" i="57"/>
  <c r="J36" i="57"/>
  <c r="F39" i="57"/>
  <c r="J42" i="57"/>
  <c r="R50" i="58"/>
  <c r="R46" i="58"/>
  <c r="R43" i="58"/>
  <c r="R59" i="58"/>
  <c r="R53" i="58"/>
  <c r="R49" i="58"/>
  <c r="R37" i="58"/>
  <c r="R34" i="58"/>
  <c r="R25" i="58"/>
  <c r="R64" i="58"/>
  <c r="R57" i="58"/>
  <c r="R48" i="58"/>
  <c r="R45" i="58"/>
  <c r="R47" i="58"/>
  <c r="R42" i="58"/>
  <c r="D16" i="58"/>
  <c r="R19" i="58"/>
  <c r="J21" i="58"/>
  <c r="F22" i="58"/>
  <c r="R29" i="58"/>
  <c r="R30" i="58"/>
  <c r="R32" i="58"/>
  <c r="R33" i="58"/>
  <c r="J35" i="58"/>
  <c r="J45" i="58"/>
  <c r="R55" i="58"/>
  <c r="V52" i="59"/>
  <c r="V46" i="59"/>
  <c r="V36" i="59"/>
  <c r="V24" i="59"/>
  <c r="V39" i="59"/>
  <c r="V35" i="59"/>
  <c r="V23" i="59"/>
  <c r="V38" i="59"/>
  <c r="V22" i="59"/>
  <c r="V18" i="59"/>
  <c r="V14" i="59"/>
  <c r="V41" i="59"/>
  <c r="V37" i="59"/>
  <c r="V21" i="59"/>
  <c r="V55" i="59"/>
  <c r="V50" i="59"/>
  <c r="V48" i="59"/>
  <c r="V44" i="59"/>
  <c r="V40" i="59"/>
  <c r="V32" i="59"/>
  <c r="V28" i="59"/>
  <c r="V20" i="59"/>
  <c r="Z12" i="59"/>
  <c r="V43" i="59"/>
  <c r="V31" i="59"/>
  <c r="V27" i="59"/>
  <c r="V19" i="59"/>
  <c r="D16" i="59"/>
  <c r="V25" i="59"/>
  <c r="V34" i="59"/>
  <c r="Z40" i="59"/>
  <c r="N42" i="59"/>
  <c r="R55" i="59"/>
  <c r="F14" i="60"/>
  <c r="J25" i="60"/>
  <c r="Z30" i="60"/>
  <c r="X30" i="60"/>
  <c r="Z18" i="61"/>
  <c r="V26" i="61"/>
  <c r="Z35" i="61"/>
  <c r="F18" i="62"/>
  <c r="J19" i="62"/>
  <c r="L40" i="62"/>
  <c r="N40" i="62" s="1"/>
  <c r="Z42" i="62"/>
  <c r="P16" i="65"/>
  <c r="X14" i="65"/>
  <c r="N47" i="66"/>
  <c r="L47" i="66"/>
  <c r="N28" i="81"/>
  <c r="L28" i="81"/>
  <c r="J39" i="59"/>
  <c r="R24" i="60"/>
  <c r="F19" i="61"/>
  <c r="F24" i="61"/>
  <c r="F28" i="61"/>
  <c r="F32" i="61"/>
  <c r="F35" i="61"/>
  <c r="P85" i="62"/>
  <c r="V23" i="62"/>
  <c r="R24" i="62"/>
  <c r="V35" i="62"/>
  <c r="R36" i="62"/>
  <c r="V39" i="62"/>
  <c r="X42" i="62"/>
  <c r="V44" i="62"/>
  <c r="R45" i="62"/>
  <c r="Z47" i="62"/>
  <c r="X47" i="62"/>
  <c r="Z83" i="62"/>
  <c r="V16" i="63"/>
  <c r="V29" i="63"/>
  <c r="P36" i="64"/>
  <c r="N22" i="64"/>
  <c r="Z19" i="65"/>
  <c r="R94" i="66"/>
  <c r="R91" i="66"/>
  <c r="R84" i="66"/>
  <c r="R87" i="66"/>
  <c r="R78" i="66"/>
  <c r="R75" i="66"/>
  <c r="R70" i="66"/>
  <c r="R67" i="66"/>
  <c r="R90" i="66"/>
  <c r="R81" i="66"/>
  <c r="R95" i="66"/>
  <c r="R80" i="66"/>
  <c r="R77" i="66"/>
  <c r="R72" i="66"/>
  <c r="R69" i="66"/>
  <c r="R64" i="66"/>
  <c r="R83" i="66"/>
  <c r="R63" i="66"/>
  <c r="R93" i="66"/>
  <c r="R86" i="66"/>
  <c r="R79" i="66"/>
  <c r="R74" i="66"/>
  <c r="R71" i="66"/>
  <c r="R66" i="66"/>
  <c r="R62" i="66"/>
  <c r="R73" i="66"/>
  <c r="R58" i="66"/>
  <c r="R52" i="66"/>
  <c r="R36" i="66"/>
  <c r="R99" i="66"/>
  <c r="R51" i="66"/>
  <c r="R43" i="66"/>
  <c r="R35" i="66"/>
  <c r="R68" i="66"/>
  <c r="R50" i="66"/>
  <c r="R47" i="66"/>
  <c r="R42" i="66"/>
  <c r="R34" i="66"/>
  <c r="R57" i="66"/>
  <c r="R49" i="66"/>
  <c r="R41" i="66"/>
  <c r="R33" i="66"/>
  <c r="R56" i="66"/>
  <c r="R40" i="66"/>
  <c r="R32" i="66"/>
  <c r="R88" i="66"/>
  <c r="R65" i="66"/>
  <c r="R55" i="66"/>
  <c r="R48" i="66"/>
  <c r="R39" i="66"/>
  <c r="R31" i="66"/>
  <c r="Z14" i="66"/>
  <c r="R37" i="66"/>
  <c r="Z30" i="69"/>
  <c r="N30" i="73"/>
  <c r="L30" i="73"/>
  <c r="J16" i="59"/>
  <c r="J24" i="59"/>
  <c r="J36" i="59"/>
  <c r="J42" i="59"/>
  <c r="R16" i="60"/>
  <c r="V24" i="60"/>
  <c r="R25" i="60"/>
  <c r="V28" i="60"/>
  <c r="R29" i="60"/>
  <c r="V38" i="60"/>
  <c r="V44" i="60"/>
  <c r="J16" i="61"/>
  <c r="J24" i="61"/>
  <c r="F25" i="61"/>
  <c r="J28" i="61"/>
  <c r="F29" i="61"/>
  <c r="J32" i="61"/>
  <c r="F40" i="61"/>
  <c r="F47" i="61"/>
  <c r="R16" i="62"/>
  <c r="V24" i="62"/>
  <c r="R25" i="62"/>
  <c r="R30" i="62"/>
  <c r="V36" i="62"/>
  <c r="R37" i="62"/>
  <c r="R42" i="62"/>
  <c r="V47" i="62"/>
  <c r="X55" i="62"/>
  <c r="Z55" i="62" s="1"/>
  <c r="V70" i="62"/>
  <c r="T12" i="66"/>
  <c r="X12" i="66" s="1"/>
  <c r="X14" i="66"/>
  <c r="L18" i="66"/>
  <c r="L27" i="66"/>
  <c r="Z48" i="66"/>
  <c r="R53" i="66"/>
  <c r="R59" i="66"/>
  <c r="R19" i="60"/>
  <c r="R26" i="60"/>
  <c r="R35" i="60"/>
  <c r="P40" i="60"/>
  <c r="J19" i="61"/>
  <c r="J25" i="61"/>
  <c r="F26" i="61"/>
  <c r="J29" i="61"/>
  <c r="F30" i="61"/>
  <c r="F33" i="61"/>
  <c r="J35" i="61"/>
  <c r="H40" i="61"/>
  <c r="R79" i="62"/>
  <c r="R70" i="62"/>
  <c r="R66" i="62"/>
  <c r="R62" i="62"/>
  <c r="R58" i="62"/>
  <c r="R55" i="62"/>
  <c r="R50" i="62"/>
  <c r="R47" i="62"/>
  <c r="R87" i="62"/>
  <c r="R73" i="62"/>
  <c r="R69" i="62"/>
  <c r="R65" i="62"/>
  <c r="R61" i="62"/>
  <c r="R92" i="62"/>
  <c r="R85" i="62"/>
  <c r="R68" i="62"/>
  <c r="R64" i="62"/>
  <c r="R60" i="62"/>
  <c r="R57" i="62"/>
  <c r="R52" i="62"/>
  <c r="R49" i="62"/>
  <c r="R44" i="62"/>
  <c r="R82" i="62"/>
  <c r="R75" i="62"/>
  <c r="R72" i="62"/>
  <c r="R78" i="62"/>
  <c r="R67" i="62"/>
  <c r="R63" i="62"/>
  <c r="R59" i="62"/>
  <c r="R54" i="62"/>
  <c r="R51" i="62"/>
  <c r="R46" i="62"/>
  <c r="R77" i="62"/>
  <c r="R74" i="62"/>
  <c r="R19" i="62"/>
  <c r="V25" i="62"/>
  <c r="R26" i="62"/>
  <c r="V37" i="62"/>
  <c r="L49" i="62"/>
  <c r="N49" i="62" s="1"/>
  <c r="V55" i="62"/>
  <c r="L57" i="62"/>
  <c r="N57" i="62" s="1"/>
  <c r="R89" i="62"/>
  <c r="H31" i="65"/>
  <c r="N16" i="65"/>
  <c r="Z18" i="65"/>
  <c r="X23" i="66"/>
  <c r="N27" i="66"/>
  <c r="R76" i="66"/>
  <c r="J43" i="67"/>
  <c r="J37" i="67"/>
  <c r="J25" i="67"/>
  <c r="J34" i="67"/>
  <c r="J24" i="67"/>
  <c r="J22" i="67"/>
  <c r="J18" i="67"/>
  <c r="J48" i="67"/>
  <c r="J41" i="67"/>
  <c r="J31" i="67"/>
  <c r="J36" i="67"/>
  <c r="J30" i="67"/>
  <c r="J33" i="67"/>
  <c r="J29" i="67"/>
  <c r="J23" i="67"/>
  <c r="J28" i="67"/>
  <c r="J20" i="67"/>
  <c r="N12" i="67"/>
  <c r="J39" i="67"/>
  <c r="J32" i="67"/>
  <c r="J27" i="67"/>
  <c r="H20" i="67"/>
  <c r="J45" i="67"/>
  <c r="J26" i="59"/>
  <c r="J30" i="59"/>
  <c r="J34" i="59"/>
  <c r="J40" i="59"/>
  <c r="J48" i="59"/>
  <c r="J55" i="59"/>
  <c r="V16" i="60"/>
  <c r="V26" i="60"/>
  <c r="R27" i="60"/>
  <c r="R32" i="60"/>
  <c r="R40" i="60"/>
  <c r="R47" i="60"/>
  <c r="F14" i="61"/>
  <c r="F18" i="61"/>
  <c r="J26" i="61"/>
  <c r="J30" i="61"/>
  <c r="J40" i="61"/>
  <c r="J47" i="61"/>
  <c r="V92" i="62"/>
  <c r="V87" i="62"/>
  <c r="V85" i="62"/>
  <c r="V73" i="62"/>
  <c r="V69" i="62"/>
  <c r="V65" i="62"/>
  <c r="V61" i="62"/>
  <c r="V57" i="62"/>
  <c r="V49" i="62"/>
  <c r="V82" i="62"/>
  <c r="V72" i="62"/>
  <c r="V68" i="62"/>
  <c r="V64" i="62"/>
  <c r="V60" i="62"/>
  <c r="V52" i="62"/>
  <c r="V75" i="62"/>
  <c r="V67" i="62"/>
  <c r="V63" i="62"/>
  <c r="V59" i="62"/>
  <c r="V51" i="62"/>
  <c r="V43" i="62"/>
  <c r="V78" i="62"/>
  <c r="V74" i="62"/>
  <c r="V54" i="62"/>
  <c r="V89" i="62"/>
  <c r="V83" i="62"/>
  <c r="V77" i="62"/>
  <c r="V53" i="62"/>
  <c r="V45" i="62"/>
  <c r="V80" i="62"/>
  <c r="V76" i="62"/>
  <c r="V56" i="62"/>
  <c r="V48" i="62"/>
  <c r="V16" i="62"/>
  <c r="V26" i="62"/>
  <c r="R27" i="62"/>
  <c r="V30" i="62"/>
  <c r="R31" i="62"/>
  <c r="R40" i="62"/>
  <c r="V42" i="62"/>
  <c r="V50" i="62"/>
  <c r="V66" i="62"/>
  <c r="Z67" i="62"/>
  <c r="R80" i="62"/>
  <c r="X19" i="63"/>
  <c r="L29" i="63"/>
  <c r="N14" i="64"/>
  <c r="L14" i="64"/>
  <c r="N21" i="65"/>
  <c r="P45" i="66"/>
  <c r="Z73" i="66"/>
  <c r="R85" i="66"/>
  <c r="J27" i="59"/>
  <c r="J31" i="59"/>
  <c r="J37" i="59"/>
  <c r="J43" i="59"/>
  <c r="X12" i="60"/>
  <c r="V19" i="60"/>
  <c r="R20" i="60"/>
  <c r="V27" i="60"/>
  <c r="V35" i="60"/>
  <c r="R36" i="60"/>
  <c r="R42" i="60"/>
  <c r="L12" i="61"/>
  <c r="F20" i="61"/>
  <c r="F27" i="61"/>
  <c r="F31" i="61"/>
  <c r="J33" i="61"/>
  <c r="F36" i="61"/>
  <c r="F42" i="61"/>
  <c r="X12" i="62"/>
  <c r="X16" i="62"/>
  <c r="V19" i="62"/>
  <c r="R20" i="62"/>
  <c r="V27" i="62"/>
  <c r="R28" i="62"/>
  <c r="V31" i="62"/>
  <c r="R32" i="62"/>
  <c r="N53" i="62"/>
  <c r="N72" i="62"/>
  <c r="R41" i="63"/>
  <c r="R34" i="63"/>
  <c r="R16" i="63"/>
  <c r="R29" i="63"/>
  <c r="P16" i="63"/>
  <c r="R23" i="63"/>
  <c r="R26" i="63"/>
  <c r="R22" i="63"/>
  <c r="R38" i="63"/>
  <c r="R32" i="63"/>
  <c r="R25" i="63"/>
  <c r="R21" i="63"/>
  <c r="R18" i="63"/>
  <c r="R14" i="63"/>
  <c r="R28" i="63"/>
  <c r="R20" i="63"/>
  <c r="X12" i="63"/>
  <c r="R19" i="63"/>
  <c r="N19" i="64"/>
  <c r="Z34" i="64"/>
  <c r="X34" i="64"/>
  <c r="L19" i="65"/>
  <c r="N19" i="65" s="1"/>
  <c r="Z23" i="65"/>
  <c r="N26" i="65"/>
  <c r="L29" i="65"/>
  <c r="Z22" i="66"/>
  <c r="N30" i="66"/>
  <c r="R45" i="66"/>
  <c r="J14" i="59"/>
  <c r="J18" i="59"/>
  <c r="J20" i="59"/>
  <c r="J28" i="59"/>
  <c r="J32" i="59"/>
  <c r="J44" i="59"/>
  <c r="Z12" i="60"/>
  <c r="R14" i="60"/>
  <c r="R18" i="60"/>
  <c r="V20" i="60"/>
  <c r="R21" i="60"/>
  <c r="R30" i="60"/>
  <c r="V32" i="60"/>
  <c r="V36" i="60"/>
  <c r="V40" i="60"/>
  <c r="V42" i="60"/>
  <c r="N12" i="61"/>
  <c r="J14" i="61"/>
  <c r="J18" i="61"/>
  <c r="J20" i="61"/>
  <c r="F21" i="61"/>
  <c r="J36" i="61"/>
  <c r="F38" i="61"/>
  <c r="Z12" i="62"/>
  <c r="R14" i="62"/>
  <c r="R18" i="62"/>
  <c r="V20" i="62"/>
  <c r="R21" i="62"/>
  <c r="V28" i="62"/>
  <c r="R29" i="62"/>
  <c r="V32" i="62"/>
  <c r="R33" i="62"/>
  <c r="R38" i="62"/>
  <c r="V40" i="62"/>
  <c r="R41" i="62"/>
  <c r="R48" i="62"/>
  <c r="X76" i="62"/>
  <c r="Z76" i="62" s="1"/>
  <c r="X79" i="62"/>
  <c r="Z79" i="62" s="1"/>
  <c r="V23" i="63"/>
  <c r="V38" i="63"/>
  <c r="V32" i="63"/>
  <c r="V26" i="63"/>
  <c r="V22" i="63"/>
  <c r="V18" i="63"/>
  <c r="V14" i="63"/>
  <c r="V25" i="63"/>
  <c r="V21" i="63"/>
  <c r="V28" i="63"/>
  <c r="V24" i="63"/>
  <c r="V20" i="63"/>
  <c r="Z12" i="63"/>
  <c r="V27" i="63"/>
  <c r="V19" i="63"/>
  <c r="Z24" i="64"/>
  <c r="X24" i="64"/>
  <c r="X15" i="66"/>
  <c r="Z15" i="66" s="1"/>
  <c r="L19" i="66"/>
  <c r="N19" i="66" s="1"/>
  <c r="X30" i="66"/>
  <c r="Z30" i="66" s="1"/>
  <c r="R82" i="66"/>
  <c r="Z36" i="67"/>
  <c r="Z21" i="69"/>
  <c r="X21" i="69"/>
  <c r="N50" i="69"/>
  <c r="H16" i="63"/>
  <c r="L16" i="63" s="1"/>
  <c r="F19" i="63"/>
  <c r="J23" i="63"/>
  <c r="F27" i="63"/>
  <c r="J29" i="63"/>
  <c r="R17" i="64"/>
  <c r="J19" i="64"/>
  <c r="J21" i="64"/>
  <c r="V25" i="64"/>
  <c r="F30" i="64"/>
  <c r="R31" i="64"/>
  <c r="J19" i="65"/>
  <c r="F22" i="65"/>
  <c r="R23" i="65"/>
  <c r="J25" i="65"/>
  <c r="J29" i="65"/>
  <c r="R31" i="65"/>
  <c r="J35" i="65"/>
  <c r="R38" i="65"/>
  <c r="H12" i="66"/>
  <c r="Z23" i="67"/>
  <c r="N33" i="69"/>
  <c r="X80" i="69"/>
  <c r="Z80" i="69" s="1"/>
  <c r="N86" i="69"/>
  <c r="Z107" i="69"/>
  <c r="X107" i="69"/>
  <c r="D12" i="70"/>
  <c r="L13" i="70"/>
  <c r="X14" i="70"/>
  <c r="X48" i="70"/>
  <c r="Z48" i="70" s="1"/>
  <c r="J16" i="63"/>
  <c r="F24" i="63"/>
  <c r="J34" i="63"/>
  <c r="J41" i="63"/>
  <c r="F15" i="64"/>
  <c r="D17" i="64"/>
  <c r="T17" i="64"/>
  <c r="R20" i="64"/>
  <c r="F22" i="64"/>
  <c r="V22" i="64"/>
  <c r="R23" i="64"/>
  <c r="J24" i="64"/>
  <c r="F27" i="64"/>
  <c r="J30" i="64"/>
  <c r="J34" i="64"/>
  <c r="R36" i="64"/>
  <c r="J40" i="64"/>
  <c r="R43" i="64"/>
  <c r="F14" i="65"/>
  <c r="V14" i="65"/>
  <c r="F18" i="65"/>
  <c r="V18" i="65"/>
  <c r="J22" i="65"/>
  <c r="F26" i="65"/>
  <c r="V26" i="65"/>
  <c r="R27" i="65"/>
  <c r="R33" i="65"/>
  <c r="Z65" i="66"/>
  <c r="N69" i="66"/>
  <c r="Z71" i="66"/>
  <c r="Z84" i="66"/>
  <c r="N87" i="66"/>
  <c r="L94" i="66"/>
  <c r="N94" i="66" s="1"/>
  <c r="D93" i="66"/>
  <c r="L93" i="66" s="1"/>
  <c r="N93" i="66" s="1"/>
  <c r="L18" i="69"/>
  <c r="N18" i="69" s="1"/>
  <c r="Z29" i="69"/>
  <c r="L111" i="69"/>
  <c r="N111" i="69" s="1"/>
  <c r="D110" i="69"/>
  <c r="L110" i="69" s="1"/>
  <c r="N110" i="69" s="1"/>
  <c r="N13" i="70"/>
  <c r="H12" i="70"/>
  <c r="Z14" i="70"/>
  <c r="L38" i="70"/>
  <c r="N38" i="70" s="1"/>
  <c r="X56" i="70"/>
  <c r="Z56" i="70" s="1"/>
  <c r="J19" i="63"/>
  <c r="J27" i="63"/>
  <c r="F30" i="63"/>
  <c r="F36" i="63"/>
  <c r="X12" i="64"/>
  <c r="J15" i="64"/>
  <c r="V23" i="64"/>
  <c r="J27" i="64"/>
  <c r="F28" i="64"/>
  <c r="R29" i="64"/>
  <c r="F31" i="64"/>
  <c r="V31" i="64"/>
  <c r="R32" i="64"/>
  <c r="R38" i="64"/>
  <c r="F20" i="65"/>
  <c r="R21" i="65"/>
  <c r="F23" i="65"/>
  <c r="V23" i="65"/>
  <c r="R24" i="65"/>
  <c r="V27" i="65"/>
  <c r="F31" i="65"/>
  <c r="V31" i="65"/>
  <c r="V33" i="65"/>
  <c r="F38" i="65"/>
  <c r="V38" i="65"/>
  <c r="D12" i="67"/>
  <c r="L13" i="67"/>
  <c r="P12" i="69"/>
  <c r="X14" i="69"/>
  <c r="Z14" i="69" s="1"/>
  <c r="Z98" i="69"/>
  <c r="X98" i="69"/>
  <c r="T82" i="62"/>
  <c r="F14" i="63"/>
  <c r="F18" i="63"/>
  <c r="J24" i="63"/>
  <c r="J30" i="63"/>
  <c r="F32" i="63"/>
  <c r="J36" i="63"/>
  <c r="F38" i="63"/>
  <c r="R14" i="64"/>
  <c r="H17" i="64"/>
  <c r="F20" i="64"/>
  <c r="V20" i="64"/>
  <c r="R21" i="64"/>
  <c r="J22" i="64"/>
  <c r="F25" i="64"/>
  <c r="R26" i="64"/>
  <c r="J28" i="64"/>
  <c r="V32" i="64"/>
  <c r="F36" i="64"/>
  <c r="V36" i="64"/>
  <c r="V38" i="64"/>
  <c r="F43" i="64"/>
  <c r="V43" i="64"/>
  <c r="N12" i="65"/>
  <c r="J14" i="65"/>
  <c r="R16" i="65"/>
  <c r="J18" i="65"/>
  <c r="J20" i="65"/>
  <c r="V24" i="65"/>
  <c r="R25" i="65"/>
  <c r="J26" i="65"/>
  <c r="N73" i="66"/>
  <c r="Z87" i="66"/>
  <c r="N90" i="66"/>
  <c r="N22" i="69"/>
  <c r="L12" i="63"/>
  <c r="X14" i="63"/>
  <c r="F20" i="63"/>
  <c r="F28" i="63"/>
  <c r="J17" i="64"/>
  <c r="R19" i="64"/>
  <c r="V21" i="64"/>
  <c r="J25" i="64"/>
  <c r="F29" i="64"/>
  <c r="V29" i="64"/>
  <c r="R30" i="64"/>
  <c r="J31" i="64"/>
  <c r="D16" i="65"/>
  <c r="T16" i="65"/>
  <c r="R19" i="65"/>
  <c r="F21" i="65"/>
  <c r="V21" i="65"/>
  <c r="R22" i="65"/>
  <c r="J23" i="65"/>
  <c r="V25" i="65"/>
  <c r="R29" i="65"/>
  <c r="J31" i="65"/>
  <c r="X69" i="66"/>
  <c r="Z69" i="66" s="1"/>
  <c r="X73" i="66"/>
  <c r="N77" i="66"/>
  <c r="X16" i="67"/>
  <c r="X36" i="67"/>
  <c r="N17" i="69"/>
  <c r="Z18" i="69"/>
  <c r="X22" i="69"/>
  <c r="N26" i="69"/>
  <c r="Z37" i="69"/>
  <c r="L42" i="69"/>
  <c r="X46" i="69"/>
  <c r="Z46" i="69" s="1"/>
  <c r="L92" i="69"/>
  <c r="X35" i="70"/>
  <c r="X27" i="71"/>
  <c r="Z27" i="71" s="1"/>
  <c r="H82" i="62"/>
  <c r="J18" i="63"/>
  <c r="J20" i="63"/>
  <c r="F21" i="63"/>
  <c r="J28" i="63"/>
  <c r="J32" i="63"/>
  <c r="R15" i="64"/>
  <c r="J20" i="64"/>
  <c r="F23" i="64"/>
  <c r="R24" i="64"/>
  <c r="V26" i="64"/>
  <c r="R27" i="64"/>
  <c r="R34" i="64"/>
  <c r="J36" i="64"/>
  <c r="F16" i="65"/>
  <c r="V16" i="65"/>
  <c r="F27" i="65"/>
  <c r="N65" i="66"/>
  <c r="L75" i="66"/>
  <c r="N75" i="66" s="1"/>
  <c r="T93" i="66"/>
  <c r="X93" i="66" s="1"/>
  <c r="X94" i="66"/>
  <c r="Z94" i="66" s="1"/>
  <c r="T12" i="69"/>
  <c r="Z13" i="69"/>
  <c r="N21" i="69"/>
  <c r="Z22" i="69"/>
  <c r="L34" i="69"/>
  <c r="N34" i="69" s="1"/>
  <c r="N41" i="69"/>
  <c r="N42" i="69"/>
  <c r="L50" i="69"/>
  <c r="L70" i="69"/>
  <c r="N70" i="69" s="1"/>
  <c r="N92" i="69"/>
  <c r="Z35" i="70"/>
  <c r="X60" i="70"/>
  <c r="Z60" i="70" s="1"/>
  <c r="P59" i="70"/>
  <c r="X59" i="70" s="1"/>
  <c r="Z59" i="70" s="1"/>
  <c r="L30" i="71"/>
  <c r="N30" i="71" s="1"/>
  <c r="N67" i="71"/>
  <c r="D12" i="69"/>
  <c r="X101" i="69"/>
  <c r="L50" i="70"/>
  <c r="N50" i="70" s="1"/>
  <c r="Z13" i="71"/>
  <c r="Z46" i="71"/>
  <c r="X46" i="71"/>
  <c r="N18" i="73"/>
  <c r="L15" i="77"/>
  <c r="N15" i="77" s="1"/>
  <c r="P12" i="67"/>
  <c r="H12" i="69"/>
  <c r="Z101" i="69"/>
  <c r="Z19" i="70"/>
  <c r="P12" i="71"/>
  <c r="N15" i="71"/>
  <c r="N24" i="71"/>
  <c r="X26" i="71"/>
  <c r="Z26" i="71" s="1"/>
  <c r="T81" i="71"/>
  <c r="Z83" i="71"/>
  <c r="R81" i="77"/>
  <c r="R78" i="77"/>
  <c r="R69" i="77"/>
  <c r="R41" i="77"/>
  <c r="R33" i="77"/>
  <c r="R68" i="77"/>
  <c r="R65" i="77"/>
  <c r="R60" i="77"/>
  <c r="R57" i="77"/>
  <c r="R52" i="77"/>
  <c r="R40" i="77"/>
  <c r="R37" i="77"/>
  <c r="R87" i="77"/>
  <c r="R80" i="77"/>
  <c r="R75" i="77"/>
  <c r="R71" i="77"/>
  <c r="R51" i="77"/>
  <c r="R39" i="77"/>
  <c r="R32" i="77"/>
  <c r="R74" i="77"/>
  <c r="R67" i="77"/>
  <c r="R62" i="77"/>
  <c r="R59" i="77"/>
  <c r="R54" i="77"/>
  <c r="R50" i="77"/>
  <c r="R46" i="77"/>
  <c r="R77" i="77"/>
  <c r="R73" i="77"/>
  <c r="R70" i="77"/>
  <c r="R49" i="77"/>
  <c r="R45" i="77"/>
  <c r="R38" i="77"/>
  <c r="R83" i="77"/>
  <c r="R64" i="77"/>
  <c r="R61" i="77"/>
  <c r="R56" i="77"/>
  <c r="R53" i="77"/>
  <c r="R48" i="77"/>
  <c r="R44" i="77"/>
  <c r="R35" i="77"/>
  <c r="R79" i="77"/>
  <c r="R76" i="77"/>
  <c r="R72" i="77"/>
  <c r="R43" i="77"/>
  <c r="P35" i="77"/>
  <c r="R58" i="77"/>
  <c r="R55" i="77"/>
  <c r="R63" i="77"/>
  <c r="R42" i="77"/>
  <c r="R66" i="77"/>
  <c r="R47" i="77"/>
  <c r="Z29" i="77"/>
  <c r="L32" i="77"/>
  <c r="N32" i="77" s="1"/>
  <c r="T12" i="67"/>
  <c r="X90" i="69"/>
  <c r="Z105" i="69"/>
  <c r="Z111" i="69"/>
  <c r="T110" i="69"/>
  <c r="L21" i="70"/>
  <c r="L23" i="71"/>
  <c r="L47" i="71"/>
  <c r="N47" i="71" s="1"/>
  <c r="X82" i="71"/>
  <c r="Z82" i="71" s="1"/>
  <c r="P81" i="71"/>
  <c r="X81" i="71" s="1"/>
  <c r="P41" i="74"/>
  <c r="D12" i="75"/>
  <c r="L13" i="75"/>
  <c r="R31" i="75"/>
  <c r="R21" i="75"/>
  <c r="R25" i="75"/>
  <c r="R20" i="75"/>
  <c r="R19" i="75"/>
  <c r="R18" i="75"/>
  <c r="R27" i="75"/>
  <c r="R23" i="75"/>
  <c r="P23" i="75"/>
  <c r="L13" i="69"/>
  <c r="N13" i="69" s="1"/>
  <c r="X17" i="69"/>
  <c r="Z17" i="69" s="1"/>
  <c r="L21" i="69"/>
  <c r="X25" i="69"/>
  <c r="L29" i="69"/>
  <c r="N29" i="69" s="1"/>
  <c r="X110" i="69"/>
  <c r="D12" i="71"/>
  <c r="H12" i="71"/>
  <c r="N14" i="71"/>
  <c r="N23" i="71"/>
  <c r="Z32" i="74"/>
  <c r="X32" i="74"/>
  <c r="L82" i="66"/>
  <c r="N82" i="66" s="1"/>
  <c r="Z86" i="69"/>
  <c r="L88" i="69"/>
  <c r="P12" i="70"/>
  <c r="Z17" i="70"/>
  <c r="N25" i="70"/>
  <c r="L59" i="70"/>
  <c r="N59" i="70" s="1"/>
  <c r="L14" i="71"/>
  <c r="Z74" i="71"/>
  <c r="X74" i="71"/>
  <c r="X78" i="71"/>
  <c r="Z78" i="71" s="1"/>
  <c r="N14" i="70"/>
  <c r="Z45" i="70"/>
  <c r="N22" i="71"/>
  <c r="Z28" i="71"/>
  <c r="L32" i="71"/>
  <c r="N32" i="71" s="1"/>
  <c r="D81" i="71"/>
  <c r="L81" i="71" s="1"/>
  <c r="N81" i="71" s="1"/>
  <c r="L83" i="71"/>
  <c r="T48" i="73"/>
  <c r="D52" i="76"/>
  <c r="T12" i="71"/>
  <c r="F35" i="73"/>
  <c r="F30" i="73"/>
  <c r="F27" i="73"/>
  <c r="F38" i="73"/>
  <c r="F48" i="73"/>
  <c r="F42" i="73"/>
  <c r="F32" i="73"/>
  <c r="F29" i="73"/>
  <c r="F24" i="73"/>
  <c r="F46" i="73"/>
  <c r="F40" i="73"/>
  <c r="F19" i="73"/>
  <c r="F34" i="73"/>
  <c r="F31" i="73"/>
  <c r="F26" i="73"/>
  <c r="F23" i="73"/>
  <c r="F16" i="73"/>
  <c r="F37" i="73"/>
  <c r="F22" i="73"/>
  <c r="D16" i="73"/>
  <c r="F51" i="73"/>
  <c r="F44" i="73"/>
  <c r="F33" i="73"/>
  <c r="F28" i="73"/>
  <c r="F25" i="73"/>
  <c r="F14" i="73"/>
  <c r="N41" i="76"/>
  <c r="N23" i="77"/>
  <c r="Z28" i="77"/>
  <c r="N47" i="77"/>
  <c r="Z76" i="77"/>
  <c r="N78" i="77"/>
  <c r="J48" i="73"/>
  <c r="J42" i="73"/>
  <c r="J38" i="73"/>
  <c r="J32" i="73"/>
  <c r="J24" i="73"/>
  <c r="J29" i="73"/>
  <c r="J19" i="73"/>
  <c r="J46" i="73"/>
  <c r="J40" i="73"/>
  <c r="J34" i="73"/>
  <c r="J26" i="73"/>
  <c r="J16" i="73"/>
  <c r="J37" i="73"/>
  <c r="J31" i="73"/>
  <c r="J23" i="73"/>
  <c r="H16" i="73"/>
  <c r="J51" i="73"/>
  <c r="J44" i="73"/>
  <c r="J28" i="73"/>
  <c r="J22" i="73"/>
  <c r="J39" i="73"/>
  <c r="J33" i="73"/>
  <c r="J25" i="73"/>
  <c r="J21" i="73"/>
  <c r="J36" i="73"/>
  <c r="J30" i="73"/>
  <c r="N33" i="76"/>
  <c r="D12" i="77"/>
  <c r="H12" i="77"/>
  <c r="Z61" i="77"/>
  <c r="N63" i="77"/>
  <c r="X31" i="82"/>
  <c r="Z31" i="82" s="1"/>
  <c r="T12" i="70"/>
  <c r="L12" i="73"/>
  <c r="J14" i="73"/>
  <c r="P44" i="73"/>
  <c r="X16" i="73"/>
  <c r="L14" i="74"/>
  <c r="N14" i="74" s="1"/>
  <c r="N19" i="74"/>
  <c r="T12" i="75"/>
  <c r="X12" i="75" s="1"/>
  <c r="N17" i="77"/>
  <c r="Z19" i="77"/>
  <c r="N22" i="77"/>
  <c r="X27" i="77"/>
  <c r="N30" i="77"/>
  <c r="N37" i="77"/>
  <c r="N55" i="77"/>
  <c r="X78" i="77"/>
  <c r="Z78" i="77" s="1"/>
  <c r="N80" i="77"/>
  <c r="L80" i="77"/>
  <c r="J44" i="78"/>
  <c r="J36" i="78"/>
  <c r="J30" i="78"/>
  <c r="J26" i="78"/>
  <c r="J58" i="78"/>
  <c r="J51" i="78"/>
  <c r="J41" i="78"/>
  <c r="J29" i="78"/>
  <c r="J25" i="78"/>
  <c r="J19" i="78"/>
  <c r="J46" i="78"/>
  <c r="J38" i="78"/>
  <c r="J32" i="78"/>
  <c r="J24" i="78"/>
  <c r="J16" i="78"/>
  <c r="J43" i="78"/>
  <c r="J35" i="78"/>
  <c r="J23" i="78"/>
  <c r="J40" i="78"/>
  <c r="J34" i="78"/>
  <c r="J28" i="78"/>
  <c r="J22" i="78"/>
  <c r="J55" i="78"/>
  <c r="J49" i="78"/>
  <c r="J45" i="78"/>
  <c r="J37" i="78"/>
  <c r="J31" i="78"/>
  <c r="J21" i="78"/>
  <c r="J42" i="78"/>
  <c r="J20" i="78"/>
  <c r="J18" i="78"/>
  <c r="J14" i="78"/>
  <c r="N12" i="78"/>
  <c r="J27" i="78"/>
  <c r="J53" i="78"/>
  <c r="H16" i="78"/>
  <c r="J33" i="78"/>
  <c r="J39" i="78"/>
  <c r="J47" i="78"/>
  <c r="J66" i="80"/>
  <c r="J59" i="80"/>
  <c r="J47" i="80"/>
  <c r="J41" i="80"/>
  <c r="J29" i="80"/>
  <c r="J25" i="80"/>
  <c r="J19" i="80"/>
  <c r="J56" i="80"/>
  <c r="J52" i="80"/>
  <c r="J44" i="80"/>
  <c r="J38" i="80"/>
  <c r="J32" i="80"/>
  <c r="J24" i="80"/>
  <c r="J16" i="80"/>
  <c r="J49" i="80"/>
  <c r="J43" i="80"/>
  <c r="J35" i="80"/>
  <c r="J23" i="80"/>
  <c r="H16" i="80"/>
  <c r="J54" i="80"/>
  <c r="J46" i="80"/>
  <c r="J40" i="80"/>
  <c r="J34" i="80"/>
  <c r="J28" i="80"/>
  <c r="J22" i="80"/>
  <c r="J63" i="80"/>
  <c r="J57" i="80"/>
  <c r="J51" i="80"/>
  <c r="J37" i="80"/>
  <c r="J31" i="80"/>
  <c r="J21" i="80"/>
  <c r="J48" i="80"/>
  <c r="J42" i="80"/>
  <c r="J20" i="80"/>
  <c r="J18" i="80"/>
  <c r="J14" i="80"/>
  <c r="N12" i="80"/>
  <c r="J61" i="80"/>
  <c r="J53" i="80"/>
  <c r="J45" i="80"/>
  <c r="J39" i="80"/>
  <c r="J33" i="80"/>
  <c r="J27" i="80"/>
  <c r="J30" i="80"/>
  <c r="J36" i="80"/>
  <c r="J50" i="80"/>
  <c r="J26" i="80"/>
  <c r="N26" i="74"/>
  <c r="L26" i="74"/>
  <c r="Z33" i="76"/>
  <c r="Z18" i="77"/>
  <c r="Z27" i="77"/>
  <c r="Z47" i="77"/>
  <c r="L18" i="73"/>
  <c r="Z30" i="76"/>
  <c r="X30" i="76"/>
  <c r="N35" i="76"/>
  <c r="N57" i="80"/>
  <c r="F18" i="73"/>
  <c r="F20" i="73"/>
  <c r="J27" i="73"/>
  <c r="F39" i="73"/>
  <c r="J18" i="75"/>
  <c r="J27" i="75"/>
  <c r="H23" i="75"/>
  <c r="J31" i="75"/>
  <c r="J21" i="75"/>
  <c r="J20" i="75"/>
  <c r="J25" i="75"/>
  <c r="J19" i="75"/>
  <c r="X16" i="75"/>
  <c r="Z16" i="75" s="1"/>
  <c r="N25" i="75"/>
  <c r="L25" i="75"/>
  <c r="R30" i="76"/>
  <c r="R25" i="76"/>
  <c r="P17" i="76"/>
  <c r="R50" i="76"/>
  <c r="R44" i="76"/>
  <c r="R41" i="76"/>
  <c r="R36" i="76"/>
  <c r="R33" i="76"/>
  <c r="R24" i="76"/>
  <c r="R55" i="76"/>
  <c r="R48" i="76"/>
  <c r="R27" i="76"/>
  <c r="R23" i="76"/>
  <c r="R15" i="76"/>
  <c r="R43" i="76"/>
  <c r="R38" i="76"/>
  <c r="R35" i="76"/>
  <c r="R22" i="76"/>
  <c r="R19" i="76"/>
  <c r="R29" i="76"/>
  <c r="R26" i="76"/>
  <c r="R21" i="76"/>
  <c r="R14" i="76"/>
  <c r="R40" i="76"/>
  <c r="R37" i="76"/>
  <c r="R32" i="76"/>
  <c r="X12" i="76"/>
  <c r="R52" i="76"/>
  <c r="R46" i="76"/>
  <c r="R31" i="76"/>
  <c r="R28" i="76"/>
  <c r="R20" i="76"/>
  <c r="N16" i="77"/>
  <c r="Z55" i="77"/>
  <c r="N57" i="77"/>
  <c r="R26" i="73"/>
  <c r="R29" i="73"/>
  <c r="R34" i="73"/>
  <c r="X39" i="73"/>
  <c r="Z39" i="73" s="1"/>
  <c r="V40" i="73"/>
  <c r="V44" i="73"/>
  <c r="V46" i="73"/>
  <c r="V51" i="73"/>
  <c r="N12" i="74"/>
  <c r="J14" i="74"/>
  <c r="X19" i="74"/>
  <c r="Z19" i="74" s="1"/>
  <c r="J26" i="74"/>
  <c r="R30" i="74"/>
  <c r="F32" i="74"/>
  <c r="V32" i="74"/>
  <c r="R33" i="74"/>
  <c r="L35" i="74"/>
  <c r="R39" i="74"/>
  <c r="T17" i="76"/>
  <c r="L19" i="76"/>
  <c r="N19" i="76" s="1"/>
  <c r="V30" i="76"/>
  <c r="X33" i="76"/>
  <c r="V34" i="76"/>
  <c r="L35" i="76"/>
  <c r="J38" i="76"/>
  <c r="X41" i="76"/>
  <c r="Z41" i="76" s="1"/>
  <c r="V42" i="76"/>
  <c r="L43" i="76"/>
  <c r="J48" i="76"/>
  <c r="J55" i="76"/>
  <c r="T12" i="77"/>
  <c r="N14" i="77"/>
  <c r="X57" i="77"/>
  <c r="Z57" i="77" s="1"/>
  <c r="L59" i="77"/>
  <c r="X65" i="77"/>
  <c r="Z65" i="77" s="1"/>
  <c r="L67" i="77"/>
  <c r="N67" i="77" s="1"/>
  <c r="L12" i="78"/>
  <c r="X25" i="79"/>
  <c r="Z25" i="79" s="1"/>
  <c r="N53" i="80"/>
  <c r="L53" i="80"/>
  <c r="T16" i="82"/>
  <c r="Z14" i="82"/>
  <c r="X14" i="82"/>
  <c r="R19" i="73"/>
  <c r="V29" i="73"/>
  <c r="V37" i="73"/>
  <c r="R38" i="73"/>
  <c r="R17" i="74"/>
  <c r="J19" i="74"/>
  <c r="J21" i="74"/>
  <c r="F22" i="74"/>
  <c r="V25" i="74"/>
  <c r="J29" i="74"/>
  <c r="V33" i="74"/>
  <c r="F37" i="74"/>
  <c r="V37" i="74"/>
  <c r="V39" i="74"/>
  <c r="F44" i="74"/>
  <c r="V44" i="74"/>
  <c r="J15" i="76"/>
  <c r="F17" i="76"/>
  <c r="V17" i="76"/>
  <c r="J23" i="76"/>
  <c r="F24" i="76"/>
  <c r="J27" i="76"/>
  <c r="V31" i="76"/>
  <c r="J33" i="76"/>
  <c r="F36" i="76"/>
  <c r="F39" i="76"/>
  <c r="V39" i="76"/>
  <c r="J41" i="76"/>
  <c r="F44" i="76"/>
  <c r="F50" i="76"/>
  <c r="Z16" i="78"/>
  <c r="T51" i="78"/>
  <c r="N18" i="78"/>
  <c r="T34" i="79"/>
  <c r="N31" i="80"/>
  <c r="N40" i="80"/>
  <c r="Z51" i="80"/>
  <c r="X51" i="80"/>
  <c r="T56" i="80"/>
  <c r="X57" i="80"/>
  <c r="Z57" i="80" s="1"/>
  <c r="H30" i="81"/>
  <c r="N16" i="81"/>
  <c r="L52" i="84"/>
  <c r="N52" i="84" s="1"/>
  <c r="V16" i="73"/>
  <c r="R24" i="73"/>
  <c r="V26" i="73"/>
  <c r="R27" i="73"/>
  <c r="R32" i="73"/>
  <c r="V34" i="73"/>
  <c r="R35" i="73"/>
  <c r="V38" i="73"/>
  <c r="R42" i="73"/>
  <c r="R48" i="73"/>
  <c r="F15" i="74"/>
  <c r="D17" i="74"/>
  <c r="T17" i="74"/>
  <c r="R20" i="74"/>
  <c r="J22" i="74"/>
  <c r="F23" i="74"/>
  <c r="F27" i="74"/>
  <c r="R28" i="74"/>
  <c r="F30" i="74"/>
  <c r="V30" i="74"/>
  <c r="R31" i="74"/>
  <c r="J32" i="74"/>
  <c r="Z12" i="76"/>
  <c r="H17" i="76"/>
  <c r="L17" i="76" s="1"/>
  <c r="F20" i="76"/>
  <c r="V20" i="76"/>
  <c r="J24" i="76"/>
  <c r="F25" i="76"/>
  <c r="F28" i="76"/>
  <c r="V28" i="76"/>
  <c r="J30" i="76"/>
  <c r="V32" i="76"/>
  <c r="J36" i="76"/>
  <c r="V40" i="76"/>
  <c r="J44" i="76"/>
  <c r="F46" i="76"/>
  <c r="V46" i="76"/>
  <c r="J50" i="76"/>
  <c r="F52" i="76"/>
  <c r="V52" i="76"/>
  <c r="N33" i="78"/>
  <c r="F55" i="78"/>
  <c r="Z18" i="79"/>
  <c r="L33" i="80"/>
  <c r="N33" i="80" s="1"/>
  <c r="Z25" i="81"/>
  <c r="Z18" i="82"/>
  <c r="X18" i="82"/>
  <c r="R48" i="85"/>
  <c r="R43" i="85"/>
  <c r="R40" i="85"/>
  <c r="R31" i="85"/>
  <c r="R27" i="85"/>
  <c r="R34" i="85"/>
  <c r="R30" i="85"/>
  <c r="R26" i="85"/>
  <c r="R19" i="85"/>
  <c r="R45" i="85"/>
  <c r="R42" i="85"/>
  <c r="R29" i="85"/>
  <c r="R25" i="85"/>
  <c r="R57" i="85"/>
  <c r="R51" i="85"/>
  <c r="R36" i="85"/>
  <c r="R33" i="85"/>
  <c r="R24" i="85"/>
  <c r="R47" i="85"/>
  <c r="R44" i="85"/>
  <c r="R39" i="85"/>
  <c r="R28" i="85"/>
  <c r="R23" i="85"/>
  <c r="R38" i="85"/>
  <c r="R35" i="85"/>
  <c r="R22" i="85"/>
  <c r="R55" i="85"/>
  <c r="R49" i="85"/>
  <c r="R46" i="85"/>
  <c r="R41" i="85"/>
  <c r="R21" i="85"/>
  <c r="R18" i="85"/>
  <c r="R16" i="85"/>
  <c r="R53" i="85"/>
  <c r="R37" i="85"/>
  <c r="P16" i="85"/>
  <c r="R14" i="85"/>
  <c r="X12" i="85"/>
  <c r="R60" i="85"/>
  <c r="R20" i="85"/>
  <c r="V19" i="73"/>
  <c r="R20" i="73"/>
  <c r="V27" i="73"/>
  <c r="V35" i="73"/>
  <c r="R36" i="73"/>
  <c r="X12" i="74"/>
  <c r="J15" i="74"/>
  <c r="J23" i="74"/>
  <c r="F24" i="74"/>
  <c r="J27" i="74"/>
  <c r="V31" i="74"/>
  <c r="R35" i="74"/>
  <c r="J37" i="74"/>
  <c r="R41" i="74"/>
  <c r="J44" i="74"/>
  <c r="J17" i="76"/>
  <c r="V21" i="76"/>
  <c r="J25" i="76"/>
  <c r="V29" i="76"/>
  <c r="F34" i="76"/>
  <c r="F37" i="76"/>
  <c r="V37" i="76"/>
  <c r="J39" i="76"/>
  <c r="F42" i="76"/>
  <c r="Z40" i="78"/>
  <c r="X40" i="78"/>
  <c r="N42" i="78"/>
  <c r="L42" i="78"/>
  <c r="H34" i="79"/>
  <c r="X31" i="80"/>
  <c r="Z31" i="80" s="1"/>
  <c r="N45" i="80"/>
  <c r="L45" i="80"/>
  <c r="Z12" i="73"/>
  <c r="R14" i="73"/>
  <c r="R18" i="73"/>
  <c r="V20" i="73"/>
  <c r="R21" i="73"/>
  <c r="V24" i="73"/>
  <c r="R25" i="73"/>
  <c r="R30" i="73"/>
  <c r="V32" i="73"/>
  <c r="R33" i="73"/>
  <c r="V36" i="73"/>
  <c r="V42" i="73"/>
  <c r="V48" i="73"/>
  <c r="R14" i="74"/>
  <c r="H17" i="74"/>
  <c r="X17" i="74"/>
  <c r="F20" i="74"/>
  <c r="V20" i="74"/>
  <c r="R21" i="74"/>
  <c r="J24" i="74"/>
  <c r="F25" i="74"/>
  <c r="R26" i="74"/>
  <c r="F28" i="74"/>
  <c r="V28" i="74"/>
  <c r="R29" i="74"/>
  <c r="J30" i="74"/>
  <c r="F33" i="74"/>
  <c r="F39" i="74"/>
  <c r="V14" i="76"/>
  <c r="J20" i="76"/>
  <c r="V22" i="76"/>
  <c r="F26" i="76"/>
  <c r="V26" i="76"/>
  <c r="J28" i="76"/>
  <c r="F31" i="76"/>
  <c r="J34" i="76"/>
  <c r="V38" i="76"/>
  <c r="J42" i="76"/>
  <c r="J46" i="76"/>
  <c r="J52" i="76"/>
  <c r="Z40" i="80"/>
  <c r="X56" i="80"/>
  <c r="N19" i="81"/>
  <c r="Z29" i="82"/>
  <c r="V21" i="73"/>
  <c r="R22" i="73"/>
  <c r="V25" i="73"/>
  <c r="V33" i="73"/>
  <c r="R39" i="73"/>
  <c r="J17" i="74"/>
  <c r="R19" i="74"/>
  <c r="V21" i="74"/>
  <c r="R22" i="74"/>
  <c r="J25" i="74"/>
  <c r="V29" i="74"/>
  <c r="J33" i="74"/>
  <c r="F35" i="74"/>
  <c r="V35" i="74"/>
  <c r="J39" i="74"/>
  <c r="L12" i="76"/>
  <c r="V15" i="76"/>
  <c r="F19" i="76"/>
  <c r="V19" i="76"/>
  <c r="V23" i="76"/>
  <c r="V27" i="76"/>
  <c r="J31" i="76"/>
  <c r="F32" i="76"/>
  <c r="F35" i="76"/>
  <c r="V35" i="76"/>
  <c r="J37" i="76"/>
  <c r="F40" i="76"/>
  <c r="F43" i="76"/>
  <c r="V43" i="76"/>
  <c r="L14" i="78"/>
  <c r="Z16" i="79"/>
  <c r="L19" i="79"/>
  <c r="N19" i="79" s="1"/>
  <c r="N18" i="80"/>
  <c r="Z42" i="80"/>
  <c r="P16" i="81"/>
  <c r="X14" i="81"/>
  <c r="N31" i="82"/>
  <c r="R28" i="73"/>
  <c r="R31" i="73"/>
  <c r="R44" i="73"/>
  <c r="J20" i="74"/>
  <c r="V24" i="76"/>
  <c r="J26" i="76"/>
  <c r="J32" i="76"/>
  <c r="V36" i="76"/>
  <c r="V44" i="76"/>
  <c r="F48" i="76"/>
  <c r="V48" i="76"/>
  <c r="V50" i="76"/>
  <c r="F53" i="78"/>
  <c r="F47" i="78"/>
  <c r="F42" i="78"/>
  <c r="F39" i="78"/>
  <c r="F27" i="78"/>
  <c r="F18" i="78"/>
  <c r="F33" i="78"/>
  <c r="F30" i="78"/>
  <c r="F26" i="78"/>
  <c r="F44" i="78"/>
  <c r="F41" i="78"/>
  <c r="F36" i="78"/>
  <c r="F29" i="78"/>
  <c r="F25" i="78"/>
  <c r="F58" i="78"/>
  <c r="F51" i="78"/>
  <c r="F32" i="78"/>
  <c r="F24" i="78"/>
  <c r="F19" i="78"/>
  <c r="F46" i="78"/>
  <c r="F43" i="78"/>
  <c r="F38" i="78"/>
  <c r="F35" i="78"/>
  <c r="F23" i="78"/>
  <c r="F16" i="78"/>
  <c r="F34" i="78"/>
  <c r="F22" i="78"/>
  <c r="D16" i="78"/>
  <c r="F45" i="78"/>
  <c r="F40" i="78"/>
  <c r="F37" i="78"/>
  <c r="F28" i="78"/>
  <c r="F21" i="78"/>
  <c r="F14" i="78"/>
  <c r="P55" i="78"/>
  <c r="X51" i="78"/>
  <c r="L57" i="80"/>
  <c r="D56" i="80"/>
  <c r="F38" i="82"/>
  <c r="F32" i="82"/>
  <c r="F43" i="82"/>
  <c r="F36" i="82"/>
  <c r="F31" i="82"/>
  <c r="F27" i="82"/>
  <c r="F24" i="82"/>
  <c r="F19" i="82"/>
  <c r="F23" i="82"/>
  <c r="F16" i="82"/>
  <c r="F29" i="82"/>
  <c r="F26" i="82"/>
  <c r="F22" i="82"/>
  <c r="D16" i="82"/>
  <c r="F21" i="82"/>
  <c r="F34" i="82"/>
  <c r="F28" i="82"/>
  <c r="F20" i="82"/>
  <c r="L12" i="82"/>
  <c r="F40" i="82"/>
  <c r="F18" i="82"/>
  <c r="F14" i="82"/>
  <c r="F30" i="82"/>
  <c r="Z14" i="78"/>
  <c r="R16" i="78"/>
  <c r="V24" i="78"/>
  <c r="R25" i="78"/>
  <c r="V28" i="78"/>
  <c r="R29" i="78"/>
  <c r="X31" i="78"/>
  <c r="V32" i="78"/>
  <c r="L33" i="78"/>
  <c r="R38" i="78"/>
  <c r="V40" i="78"/>
  <c r="R41" i="78"/>
  <c r="R46" i="78"/>
  <c r="X49" i="78"/>
  <c r="J19" i="79"/>
  <c r="F22" i="79"/>
  <c r="R23" i="79"/>
  <c r="F25" i="79"/>
  <c r="V25" i="79"/>
  <c r="R26" i="79"/>
  <c r="R32" i="79"/>
  <c r="L12" i="80"/>
  <c r="X14" i="80"/>
  <c r="F20" i="80"/>
  <c r="V23" i="80"/>
  <c r="R24" i="80"/>
  <c r="F31" i="80"/>
  <c r="V31" i="80"/>
  <c r="R32" i="80"/>
  <c r="V35" i="80"/>
  <c r="L36" i="80"/>
  <c r="N36" i="80" s="1"/>
  <c r="X42" i="80"/>
  <c r="V43" i="80"/>
  <c r="R44" i="80"/>
  <c r="F48" i="80"/>
  <c r="R49" i="80"/>
  <c r="F51" i="80"/>
  <c r="V51" i="80"/>
  <c r="R52" i="80"/>
  <c r="F57" i="80"/>
  <c r="V57" i="80"/>
  <c r="F63" i="80"/>
  <c r="V63" i="80"/>
  <c r="Z12" i="81"/>
  <c r="X19" i="81"/>
  <c r="Z19" i="81" s="1"/>
  <c r="V20" i="81"/>
  <c r="L21" i="81"/>
  <c r="N21" i="81" s="1"/>
  <c r="J24" i="81"/>
  <c r="J28" i="81"/>
  <c r="R30" i="81"/>
  <c r="J34" i="81"/>
  <c r="R37" i="81"/>
  <c r="J43" i="82"/>
  <c r="J36" i="82"/>
  <c r="L19" i="82"/>
  <c r="N19" i="82" s="1"/>
  <c r="X25" i="82"/>
  <c r="Z25" i="82" s="1"/>
  <c r="L27" i="82"/>
  <c r="N27" i="82" s="1"/>
  <c r="J30" i="82"/>
  <c r="X22" i="84"/>
  <c r="Z22" i="84" s="1"/>
  <c r="Z37" i="84"/>
  <c r="X50" i="84"/>
  <c r="Z50" i="84" s="1"/>
  <c r="Z61" i="84"/>
  <c r="R71" i="84"/>
  <c r="R19" i="78"/>
  <c r="V25" i="78"/>
  <c r="R26" i="78"/>
  <c r="V29" i="78"/>
  <c r="R30" i="78"/>
  <c r="V41" i="78"/>
  <c r="R51" i="78"/>
  <c r="R58" i="78"/>
  <c r="F14" i="79"/>
  <c r="N16" i="79"/>
  <c r="F18" i="79"/>
  <c r="V18" i="79"/>
  <c r="J22" i="79"/>
  <c r="V26" i="79"/>
  <c r="F30" i="79"/>
  <c r="V30" i="79"/>
  <c r="V32" i="79"/>
  <c r="F37" i="79"/>
  <c r="V37" i="79"/>
  <c r="R16" i="80"/>
  <c r="F21" i="80"/>
  <c r="V24" i="80"/>
  <c r="R25" i="80"/>
  <c r="F28" i="80"/>
  <c r="V28" i="80"/>
  <c r="R29" i="80"/>
  <c r="V32" i="80"/>
  <c r="F37" i="80"/>
  <c r="R38" i="80"/>
  <c r="F40" i="80"/>
  <c r="V40" i="80"/>
  <c r="R41" i="80"/>
  <c r="V44" i="80"/>
  <c r="V52" i="80"/>
  <c r="R56" i="80"/>
  <c r="P59" i="80"/>
  <c r="J19" i="81"/>
  <c r="F22" i="81"/>
  <c r="R23" i="81"/>
  <c r="F25" i="81"/>
  <c r="V25" i="81"/>
  <c r="R26" i="81"/>
  <c r="R32" i="81"/>
  <c r="P40" i="82"/>
  <c r="V23" i="82"/>
  <c r="R24" i="82"/>
  <c r="J25" i="82"/>
  <c r="R29" i="82"/>
  <c r="J40" i="82"/>
  <c r="Z19" i="83"/>
  <c r="J72" i="84"/>
  <c r="J64" i="84"/>
  <c r="J54" i="84"/>
  <c r="J46" i="84"/>
  <c r="J40" i="84"/>
  <c r="J28" i="84"/>
  <c r="J20" i="84"/>
  <c r="N12" i="84"/>
  <c r="J81" i="84"/>
  <c r="J75" i="84"/>
  <c r="J69" i="84"/>
  <c r="J61" i="84"/>
  <c r="J57" i="84"/>
  <c r="J51" i="84"/>
  <c r="J37" i="84"/>
  <c r="J27" i="84"/>
  <c r="H20" i="84"/>
  <c r="J48" i="84"/>
  <c r="J42" i="84"/>
  <c r="J32" i="84"/>
  <c r="J26" i="84"/>
  <c r="J18" i="84"/>
  <c r="J79" i="84"/>
  <c r="J71" i="84"/>
  <c r="J63" i="84"/>
  <c r="J53" i="84"/>
  <c r="J45" i="84"/>
  <c r="J39" i="84"/>
  <c r="J25" i="84"/>
  <c r="J17" i="84"/>
  <c r="J68" i="84"/>
  <c r="J60" i="84"/>
  <c r="J56" i="84"/>
  <c r="J50" i="84"/>
  <c r="J44" i="84"/>
  <c r="J36" i="84"/>
  <c r="J24" i="84"/>
  <c r="J22" i="84"/>
  <c r="J84" i="84"/>
  <c r="J77" i="84"/>
  <c r="J67" i="84"/>
  <c r="J59" i="84"/>
  <c r="J55" i="84"/>
  <c r="J47" i="84"/>
  <c r="J41" i="84"/>
  <c r="J35" i="84"/>
  <c r="J31" i="84"/>
  <c r="J74" i="84"/>
  <c r="J70" i="84"/>
  <c r="J66" i="84"/>
  <c r="J62" i="84"/>
  <c r="J58" i="84"/>
  <c r="J52" i="84"/>
  <c r="J38" i="84"/>
  <c r="J34" i="84"/>
  <c r="J30" i="84"/>
  <c r="J16" i="84"/>
  <c r="J33" i="84"/>
  <c r="J49" i="84"/>
  <c r="F66" i="84"/>
  <c r="V16" i="78"/>
  <c r="V26" i="78"/>
  <c r="R27" i="78"/>
  <c r="V30" i="78"/>
  <c r="R36" i="78"/>
  <c r="V38" i="78"/>
  <c r="R39" i="78"/>
  <c r="R44" i="78"/>
  <c r="V46" i="78"/>
  <c r="R47" i="78"/>
  <c r="R53" i="78"/>
  <c r="L12" i="79"/>
  <c r="P16" i="79"/>
  <c r="F20" i="79"/>
  <c r="R21" i="79"/>
  <c r="F23" i="79"/>
  <c r="V23" i="79"/>
  <c r="R24" i="79"/>
  <c r="J25" i="79"/>
  <c r="D16" i="80"/>
  <c r="T16" i="80"/>
  <c r="R19" i="80"/>
  <c r="F22" i="80"/>
  <c r="V25" i="80"/>
  <c r="R26" i="80"/>
  <c r="V29" i="80"/>
  <c r="R30" i="80"/>
  <c r="F34" i="80"/>
  <c r="V41" i="80"/>
  <c r="F46" i="80"/>
  <c r="R47" i="80"/>
  <c r="F49" i="80"/>
  <c r="V49" i="80"/>
  <c r="R50" i="80"/>
  <c r="F54" i="80"/>
  <c r="R59" i="80"/>
  <c r="R66" i="80"/>
  <c r="F14" i="81"/>
  <c r="V14" i="81"/>
  <c r="F18" i="81"/>
  <c r="V18" i="81"/>
  <c r="J22" i="81"/>
  <c r="V26" i="81"/>
  <c r="F30" i="81"/>
  <c r="V30" i="81"/>
  <c r="V32" i="81"/>
  <c r="F37" i="81"/>
  <c r="V37" i="81"/>
  <c r="N12" i="82"/>
  <c r="J14" i="82"/>
  <c r="J18" i="82"/>
  <c r="J20" i="82"/>
  <c r="V24" i="82"/>
  <c r="J28" i="82"/>
  <c r="J31" i="82"/>
  <c r="V40" i="82"/>
  <c r="R18" i="84"/>
  <c r="F38" i="84"/>
  <c r="Z57" i="84"/>
  <c r="F62" i="84"/>
  <c r="P33" i="86"/>
  <c r="R20" i="78"/>
  <c r="V27" i="78"/>
  <c r="R33" i="78"/>
  <c r="V39" i="78"/>
  <c r="V47" i="78"/>
  <c r="V51" i="78"/>
  <c r="V53" i="78"/>
  <c r="V58" i="78"/>
  <c r="N12" i="79"/>
  <c r="J14" i="79"/>
  <c r="Z14" i="79"/>
  <c r="R16" i="79"/>
  <c r="J18" i="79"/>
  <c r="J20" i="79"/>
  <c r="V24" i="79"/>
  <c r="R28" i="79"/>
  <c r="J30" i="79"/>
  <c r="R34" i="79"/>
  <c r="J37" i="79"/>
  <c r="F16" i="80"/>
  <c r="V16" i="80"/>
  <c r="F23" i="80"/>
  <c r="V26" i="80"/>
  <c r="R27" i="80"/>
  <c r="V30" i="80"/>
  <c r="F35" i="80"/>
  <c r="R36" i="80"/>
  <c r="F38" i="80"/>
  <c r="V38" i="80"/>
  <c r="R39" i="80"/>
  <c r="F43" i="80"/>
  <c r="V50" i="80"/>
  <c r="F56" i="80"/>
  <c r="V56" i="80"/>
  <c r="R61" i="80"/>
  <c r="L12" i="81"/>
  <c r="F20" i="81"/>
  <c r="R21" i="81"/>
  <c r="F23" i="81"/>
  <c r="V23" i="81"/>
  <c r="R24" i="81"/>
  <c r="J25" i="81"/>
  <c r="R40" i="82"/>
  <c r="R34" i="82"/>
  <c r="R38" i="82"/>
  <c r="R32" i="82"/>
  <c r="R43" i="82"/>
  <c r="R19" i="82"/>
  <c r="J21" i="82"/>
  <c r="R27" i="82"/>
  <c r="R30" i="82"/>
  <c r="J32" i="82"/>
  <c r="J34" i="82"/>
  <c r="J38" i="82"/>
  <c r="F30" i="84"/>
  <c r="R39" i="84"/>
  <c r="J65" i="84"/>
  <c r="H53" i="85"/>
  <c r="N16" i="85"/>
  <c r="R14" i="78"/>
  <c r="R18" i="78"/>
  <c r="V20" i="78"/>
  <c r="R21" i="78"/>
  <c r="V36" i="78"/>
  <c r="R37" i="78"/>
  <c r="R42" i="78"/>
  <c r="V44" i="78"/>
  <c r="R45" i="78"/>
  <c r="D16" i="79"/>
  <c r="R19" i="79"/>
  <c r="F21" i="79"/>
  <c r="V21" i="79"/>
  <c r="R22" i="79"/>
  <c r="J23" i="79"/>
  <c r="F26" i="79"/>
  <c r="F32" i="79"/>
  <c r="F19" i="80"/>
  <c r="V19" i="80"/>
  <c r="R20" i="80"/>
  <c r="F24" i="80"/>
  <c r="V27" i="80"/>
  <c r="F32" i="80"/>
  <c r="R33" i="80"/>
  <c r="V39" i="80"/>
  <c r="F44" i="80"/>
  <c r="R45" i="80"/>
  <c r="F47" i="80"/>
  <c r="V47" i="80"/>
  <c r="R48" i="80"/>
  <c r="F52" i="80"/>
  <c r="R53" i="80"/>
  <c r="H56" i="80"/>
  <c r="F59" i="80"/>
  <c r="V59" i="80"/>
  <c r="V61" i="80"/>
  <c r="F66" i="80"/>
  <c r="V66" i="80"/>
  <c r="N12" i="81"/>
  <c r="J14" i="81"/>
  <c r="R16" i="81"/>
  <c r="J18" i="81"/>
  <c r="J20" i="81"/>
  <c r="V24" i="81"/>
  <c r="R28" i="81"/>
  <c r="J30" i="81"/>
  <c r="R34" i="81"/>
  <c r="J37" i="81"/>
  <c r="V43" i="82"/>
  <c r="V38" i="82"/>
  <c r="V36" i="82"/>
  <c r="V31" i="82"/>
  <c r="V16" i="82"/>
  <c r="J22" i="82"/>
  <c r="J26" i="82"/>
  <c r="V30" i="82"/>
  <c r="R26" i="84"/>
  <c r="F41" i="84"/>
  <c r="J43" i="84"/>
  <c r="F58" i="84"/>
  <c r="V21" i="78"/>
  <c r="R22" i="78"/>
  <c r="R31" i="78"/>
  <c r="V33" i="78"/>
  <c r="R34" i="78"/>
  <c r="V37" i="78"/>
  <c r="V45" i="78"/>
  <c r="R49" i="78"/>
  <c r="R55" i="78"/>
  <c r="F16" i="79"/>
  <c r="V16" i="79"/>
  <c r="V22" i="79"/>
  <c r="J26" i="79"/>
  <c r="F28" i="79"/>
  <c r="V28" i="79"/>
  <c r="F34" i="79"/>
  <c r="Z12" i="80"/>
  <c r="R14" i="80"/>
  <c r="R18" i="80"/>
  <c r="V20" i="80"/>
  <c r="R21" i="80"/>
  <c r="F25" i="80"/>
  <c r="F29" i="80"/>
  <c r="F36" i="80"/>
  <c r="V36" i="80"/>
  <c r="R37" i="80"/>
  <c r="F41" i="80"/>
  <c r="R42" i="80"/>
  <c r="V48" i="80"/>
  <c r="D16" i="81"/>
  <c r="T16" i="81"/>
  <c r="R19" i="81"/>
  <c r="F21" i="81"/>
  <c r="V21" i="81"/>
  <c r="J23" i="81"/>
  <c r="F26" i="81"/>
  <c r="F32" i="81"/>
  <c r="H16" i="82"/>
  <c r="X16" i="82"/>
  <c r="V19" i="82"/>
  <c r="R20" i="82"/>
  <c r="J23" i="82"/>
  <c r="R25" i="82"/>
  <c r="V27" i="82"/>
  <c r="R28" i="82"/>
  <c r="J29" i="82"/>
  <c r="X12" i="83"/>
  <c r="Z12" i="83" s="1"/>
  <c r="R29" i="83"/>
  <c r="R23" i="83"/>
  <c r="R20" i="83"/>
  <c r="R34" i="83"/>
  <c r="R27" i="83"/>
  <c r="R17" i="83"/>
  <c r="R22" i="83"/>
  <c r="P17" i="83"/>
  <c r="R31" i="83"/>
  <c r="R25" i="83"/>
  <c r="R19" i="83"/>
  <c r="R15" i="83"/>
  <c r="H31" i="83"/>
  <c r="J31" i="83" s="1"/>
  <c r="N16" i="84"/>
  <c r="L16" i="84"/>
  <c r="J23" i="84"/>
  <c r="R23" i="78"/>
  <c r="R28" i="78"/>
  <c r="V34" i="78"/>
  <c r="R35" i="78"/>
  <c r="R40" i="78"/>
  <c r="F19" i="79"/>
  <c r="V21" i="80"/>
  <c r="R22" i="80"/>
  <c r="F26" i="80"/>
  <c r="F30" i="80"/>
  <c r="R31" i="80"/>
  <c r="F33" i="80"/>
  <c r="V33" i="80"/>
  <c r="R34" i="80"/>
  <c r="V37" i="80"/>
  <c r="F45" i="80"/>
  <c r="V45" i="80"/>
  <c r="R46" i="80"/>
  <c r="F50" i="80"/>
  <c r="R51" i="80"/>
  <c r="R54" i="80"/>
  <c r="R57" i="80"/>
  <c r="V16" i="81"/>
  <c r="V22" i="81"/>
  <c r="J26" i="81"/>
  <c r="F28" i="81"/>
  <c r="V28" i="81"/>
  <c r="J24" i="82"/>
  <c r="R31" i="82"/>
  <c r="R79" i="84"/>
  <c r="R53" i="84"/>
  <c r="R50" i="84"/>
  <c r="R45" i="84"/>
  <c r="R25" i="84"/>
  <c r="R22" i="84"/>
  <c r="R17" i="84"/>
  <c r="R68" i="84"/>
  <c r="R60" i="84"/>
  <c r="R56" i="84"/>
  <c r="R44" i="84"/>
  <c r="R41" i="84"/>
  <c r="R36" i="84"/>
  <c r="R24" i="84"/>
  <c r="R74" i="84"/>
  <c r="R67" i="84"/>
  <c r="R59" i="84"/>
  <c r="R55" i="84"/>
  <c r="R52" i="84"/>
  <c r="R47" i="84"/>
  <c r="R35" i="84"/>
  <c r="R31" i="84"/>
  <c r="R16" i="84"/>
  <c r="R70" i="84"/>
  <c r="R66" i="84"/>
  <c r="R62" i="84"/>
  <c r="R58" i="84"/>
  <c r="R43" i="84"/>
  <c r="R38" i="84"/>
  <c r="R34" i="84"/>
  <c r="R30" i="84"/>
  <c r="R23" i="84"/>
  <c r="R65" i="84"/>
  <c r="R54" i="84"/>
  <c r="R49" i="84"/>
  <c r="R46" i="84"/>
  <c r="R33" i="84"/>
  <c r="R29" i="84"/>
  <c r="R75" i="84"/>
  <c r="R72" i="84"/>
  <c r="R69" i="84"/>
  <c r="R64" i="84"/>
  <c r="R61" i="84"/>
  <c r="R57" i="84"/>
  <c r="R40" i="84"/>
  <c r="R37" i="84"/>
  <c r="R28" i="84"/>
  <c r="P20" i="84"/>
  <c r="R20" i="84" s="1"/>
  <c r="R51" i="84"/>
  <c r="R48" i="84"/>
  <c r="R32" i="84"/>
  <c r="R27" i="84"/>
  <c r="F74" i="84"/>
  <c r="F65" i="84"/>
  <c r="F52" i="84"/>
  <c r="F49" i="84"/>
  <c r="F33" i="84"/>
  <c r="F29" i="84"/>
  <c r="F16" i="84"/>
  <c r="F72" i="84"/>
  <c r="F64" i="84"/>
  <c r="F43" i="84"/>
  <c r="F40" i="84"/>
  <c r="F28" i="84"/>
  <c r="F23" i="84"/>
  <c r="L12" i="84"/>
  <c r="F54" i="84"/>
  <c r="F51" i="84"/>
  <c r="F46" i="84"/>
  <c r="F27" i="84"/>
  <c r="F20" i="84"/>
  <c r="F75" i="84"/>
  <c r="F69" i="84"/>
  <c r="F61" i="84"/>
  <c r="F57" i="84"/>
  <c r="F42" i="84"/>
  <c r="F37" i="84"/>
  <c r="F26" i="84"/>
  <c r="D20" i="84"/>
  <c r="F18" i="84"/>
  <c r="F79" i="84"/>
  <c r="F53" i="84"/>
  <c r="F48" i="84"/>
  <c r="F45" i="84"/>
  <c r="F32" i="84"/>
  <c r="F25" i="84"/>
  <c r="F17" i="84"/>
  <c r="F71" i="84"/>
  <c r="F68" i="84"/>
  <c r="F63" i="84"/>
  <c r="F60" i="84"/>
  <c r="F56" i="84"/>
  <c r="F44" i="84"/>
  <c r="F39" i="84"/>
  <c r="F36" i="84"/>
  <c r="F24" i="84"/>
  <c r="F67" i="84"/>
  <c r="F59" i="84"/>
  <c r="F55" i="84"/>
  <c r="F50" i="84"/>
  <c r="F47" i="84"/>
  <c r="F35" i="84"/>
  <c r="F31" i="84"/>
  <c r="F22" i="84"/>
  <c r="R42" i="84"/>
  <c r="Z18" i="87"/>
  <c r="D12" i="83"/>
  <c r="J17" i="83"/>
  <c r="V21" i="83"/>
  <c r="J27" i="83"/>
  <c r="T12" i="84"/>
  <c r="V42" i="85"/>
  <c r="V34" i="85"/>
  <c r="V30" i="85"/>
  <c r="V26" i="85"/>
  <c r="V57" i="85"/>
  <c r="V51" i="85"/>
  <c r="V45" i="85"/>
  <c r="V33" i="85"/>
  <c r="V29" i="85"/>
  <c r="V25" i="85"/>
  <c r="T16" i="85"/>
  <c r="V44" i="85"/>
  <c r="V36" i="85"/>
  <c r="V28" i="85"/>
  <c r="V24" i="85"/>
  <c r="V47" i="85"/>
  <c r="V39" i="85"/>
  <c r="V35" i="85"/>
  <c r="V23" i="85"/>
  <c r="V46" i="85"/>
  <c r="V38" i="85"/>
  <c r="V22" i="85"/>
  <c r="V18" i="85"/>
  <c r="V14" i="85"/>
  <c r="V60" i="85"/>
  <c r="V55" i="85"/>
  <c r="V53" i="85"/>
  <c r="V49" i="85"/>
  <c r="V41" i="85"/>
  <c r="V37" i="85"/>
  <c r="V21" i="85"/>
  <c r="V48" i="85"/>
  <c r="V40" i="85"/>
  <c r="V32" i="85"/>
  <c r="V20" i="85"/>
  <c r="J20" i="83"/>
  <c r="Z19" i="85"/>
  <c r="V27" i="85"/>
  <c r="V31" i="85"/>
  <c r="Z42" i="85"/>
  <c r="N18" i="86"/>
  <c r="Z22" i="86"/>
  <c r="L27" i="86"/>
  <c r="F32" i="87"/>
  <c r="F26" i="87"/>
  <c r="F30" i="87"/>
  <c r="F24" i="87"/>
  <c r="F19" i="87"/>
  <c r="F16" i="87"/>
  <c r="F21" i="87"/>
  <c r="D16" i="87"/>
  <c r="F35" i="87"/>
  <c r="F28" i="87"/>
  <c r="F23" i="87"/>
  <c r="F20" i="87"/>
  <c r="L12" i="87"/>
  <c r="F18" i="87"/>
  <c r="F14" i="87"/>
  <c r="T16" i="87"/>
  <c r="Z14" i="87"/>
  <c r="X14" i="87"/>
  <c r="V15" i="83"/>
  <c r="V19" i="83"/>
  <c r="L20" i="83"/>
  <c r="N20" i="83" s="1"/>
  <c r="J23" i="83"/>
  <c r="V25" i="83"/>
  <c r="J29" i="83"/>
  <c r="X39" i="84"/>
  <c r="L41" i="84"/>
  <c r="X63" i="84"/>
  <c r="Z63" i="84" s="1"/>
  <c r="V19" i="85"/>
  <c r="P45" i="89"/>
  <c r="X41" i="89"/>
  <c r="F47" i="85"/>
  <c r="F42" i="85"/>
  <c r="F39" i="85"/>
  <c r="F23" i="85"/>
  <c r="F57" i="85"/>
  <c r="F51" i="85"/>
  <c r="F38" i="85"/>
  <c r="F33" i="85"/>
  <c r="F22" i="85"/>
  <c r="D16" i="85"/>
  <c r="F55" i="85"/>
  <c r="F49" i="85"/>
  <c r="F44" i="85"/>
  <c r="F41" i="85"/>
  <c r="F28" i="85"/>
  <c r="F21" i="85"/>
  <c r="F35" i="85"/>
  <c r="F32" i="85"/>
  <c r="F20" i="85"/>
  <c r="F46" i="85"/>
  <c r="F43" i="85"/>
  <c r="F31" i="85"/>
  <c r="F27" i="85"/>
  <c r="F18" i="85"/>
  <c r="F14" i="85"/>
  <c r="F60" i="85"/>
  <c r="F53" i="85"/>
  <c r="F37" i="85"/>
  <c r="F34" i="85"/>
  <c r="F30" i="85"/>
  <c r="F26" i="85"/>
  <c r="F48" i="85"/>
  <c r="F45" i="85"/>
  <c r="F40" i="85"/>
  <c r="F29" i="85"/>
  <c r="F25" i="85"/>
  <c r="V16" i="85"/>
  <c r="Z18" i="86"/>
  <c r="Z21" i="87"/>
  <c r="F39" i="88"/>
  <c r="F33" i="88"/>
  <c r="F28" i="88"/>
  <c r="F25" i="88"/>
  <c r="F42" i="88"/>
  <c r="F35" i="88"/>
  <c r="F24" i="88"/>
  <c r="F29" i="88"/>
  <c r="F26" i="88"/>
  <c r="F20" i="88"/>
  <c r="F17" i="88"/>
  <c r="F37" i="88"/>
  <c r="F31" i="88"/>
  <c r="F30" i="88"/>
  <c r="D17" i="88"/>
  <c r="F15" i="88"/>
  <c r="F19" i="88"/>
  <c r="L12" i="88"/>
  <c r="F23" i="88"/>
  <c r="F21" i="88"/>
  <c r="F14" i="88"/>
  <c r="Z14" i="88"/>
  <c r="X14" i="88"/>
  <c r="J15" i="83"/>
  <c r="J19" i="83"/>
  <c r="J21" i="83"/>
  <c r="J25" i="83"/>
  <c r="J31" i="86"/>
  <c r="J25" i="86"/>
  <c r="J19" i="86"/>
  <c r="J22" i="86"/>
  <c r="J16" i="86"/>
  <c r="J36" i="86"/>
  <c r="J29" i="86"/>
  <c r="H16" i="86"/>
  <c r="J24" i="86"/>
  <c r="J21" i="86"/>
  <c r="J20" i="86"/>
  <c r="J18" i="86"/>
  <c r="J14" i="86"/>
  <c r="N12" i="86"/>
  <c r="J33" i="86"/>
  <c r="J27" i="86"/>
  <c r="J23" i="86"/>
  <c r="N23" i="87"/>
  <c r="N26" i="87"/>
  <c r="L26" i="87"/>
  <c r="T17" i="83"/>
  <c r="V22" i="83"/>
  <c r="D74" i="84"/>
  <c r="L74" i="84" s="1"/>
  <c r="T74" i="84"/>
  <c r="L12" i="85"/>
  <c r="F16" i="85"/>
  <c r="V43" i="85"/>
  <c r="Z48" i="85"/>
  <c r="N18" i="87"/>
  <c r="N20" i="88"/>
  <c r="F22" i="88"/>
  <c r="V23" i="83"/>
  <c r="V29" i="83"/>
  <c r="F19" i="85"/>
  <c r="X40" i="85"/>
  <c r="Z40" i="85" s="1"/>
  <c r="L42" i="85"/>
  <c r="N42" i="85" s="1"/>
  <c r="X18" i="87"/>
  <c r="F22" i="87"/>
  <c r="J24" i="85"/>
  <c r="J36" i="85"/>
  <c r="J42" i="85"/>
  <c r="L12" i="86"/>
  <c r="X14" i="86"/>
  <c r="F20" i="86"/>
  <c r="R29" i="86"/>
  <c r="R36" i="86"/>
  <c r="J22" i="87"/>
  <c r="J26" i="87"/>
  <c r="R28" i="87"/>
  <c r="J32" i="87"/>
  <c r="R35" i="87"/>
  <c r="J37" i="88"/>
  <c r="J31" i="88"/>
  <c r="J42" i="88"/>
  <c r="J35" i="88"/>
  <c r="J30" i="88"/>
  <c r="J27" i="88"/>
  <c r="J23" i="88"/>
  <c r="R15" i="88"/>
  <c r="J22" i="88"/>
  <c r="R25" i="88"/>
  <c r="R30" i="88"/>
  <c r="N24" i="90"/>
  <c r="X34" i="90"/>
  <c r="X46" i="90"/>
  <c r="J19" i="85"/>
  <c r="J25" i="85"/>
  <c r="J29" i="85"/>
  <c r="J45" i="85"/>
  <c r="R16" i="86"/>
  <c r="F21" i="86"/>
  <c r="R22" i="86"/>
  <c r="F24" i="86"/>
  <c r="V24" i="86"/>
  <c r="R25" i="86"/>
  <c r="R31" i="86"/>
  <c r="P16" i="87"/>
  <c r="R21" i="87"/>
  <c r="V23" i="87"/>
  <c r="R24" i="87"/>
  <c r="R30" i="87"/>
  <c r="V15" i="88"/>
  <c r="N17" i="88"/>
  <c r="J21" i="88"/>
  <c r="V25" i="88"/>
  <c r="R27" i="88"/>
  <c r="Z30" i="88"/>
  <c r="R42" i="88"/>
  <c r="J27" i="89"/>
  <c r="Z34" i="90"/>
  <c r="Z46" i="90"/>
  <c r="N54" i="90"/>
  <c r="D28" i="91"/>
  <c r="J26" i="85"/>
  <c r="J30" i="85"/>
  <c r="J34" i="85"/>
  <c r="J40" i="85"/>
  <c r="J48" i="85"/>
  <c r="D16" i="86"/>
  <c r="T16" i="86"/>
  <c r="X16" i="86" s="1"/>
  <c r="R19" i="86"/>
  <c r="V25" i="86"/>
  <c r="F29" i="86"/>
  <c r="V29" i="86"/>
  <c r="V31" i="86"/>
  <c r="F36" i="86"/>
  <c r="V36" i="86"/>
  <c r="N12" i="87"/>
  <c r="J14" i="87"/>
  <c r="R16" i="87"/>
  <c r="J18" i="87"/>
  <c r="J20" i="87"/>
  <c r="V24" i="87"/>
  <c r="V28" i="87"/>
  <c r="V30" i="87"/>
  <c r="V35" i="87"/>
  <c r="N12" i="88"/>
  <c r="J14" i="88"/>
  <c r="P17" i="88"/>
  <c r="R20" i="88"/>
  <c r="V24" i="88"/>
  <c r="R28" i="88"/>
  <c r="Z34" i="89"/>
  <c r="H24" i="91"/>
  <c r="L24" i="91" s="1"/>
  <c r="N16" i="91"/>
  <c r="J27" i="85"/>
  <c r="J31" i="85"/>
  <c r="J37" i="85"/>
  <c r="J43" i="85"/>
  <c r="J53" i="85"/>
  <c r="J60" i="85"/>
  <c r="F16" i="86"/>
  <c r="V16" i="86"/>
  <c r="F22" i="86"/>
  <c r="V22" i="86"/>
  <c r="R23" i="86"/>
  <c r="R19" i="87"/>
  <c r="R22" i="87"/>
  <c r="J23" i="87"/>
  <c r="R24" i="88"/>
  <c r="R39" i="88"/>
  <c r="R33" i="88"/>
  <c r="R29" i="88"/>
  <c r="R26" i="88"/>
  <c r="R17" i="88"/>
  <c r="R21" i="88"/>
  <c r="R22" i="88"/>
  <c r="R23" i="88"/>
  <c r="J33" i="88"/>
  <c r="J39" i="88"/>
  <c r="L14" i="89"/>
  <c r="X16" i="89"/>
  <c r="J32" i="89"/>
  <c r="N36" i="89"/>
  <c r="L39" i="89"/>
  <c r="F56" i="90"/>
  <c r="F52" i="90"/>
  <c r="F72" i="90"/>
  <c r="F65" i="90"/>
  <c r="F60" i="90"/>
  <c r="F48" i="90"/>
  <c r="F45" i="90"/>
  <c r="F59" i="90"/>
  <c r="F54" i="90"/>
  <c r="F50" i="90"/>
  <c r="F47" i="90"/>
  <c r="F42" i="90"/>
  <c r="F69" i="90"/>
  <c r="F63" i="90"/>
  <c r="F57" i="90"/>
  <c r="F51" i="90"/>
  <c r="F49" i="90"/>
  <c r="F43" i="90"/>
  <c r="F40" i="90"/>
  <c r="F37" i="90"/>
  <c r="F33" i="90"/>
  <c r="F25" i="90"/>
  <c r="F36" i="90"/>
  <c r="F32" i="90"/>
  <c r="F23" i="90"/>
  <c r="F61" i="90"/>
  <c r="F58" i="90"/>
  <c r="F39" i="90"/>
  <c r="F35" i="90"/>
  <c r="F31" i="90"/>
  <c r="F53" i="90"/>
  <c r="F30" i="90"/>
  <c r="F17" i="90"/>
  <c r="F46" i="90"/>
  <c r="F41" i="90"/>
  <c r="F29" i="90"/>
  <c r="F24" i="90"/>
  <c r="F67" i="90"/>
  <c r="F55" i="90"/>
  <c r="F28" i="90"/>
  <c r="F21" i="90"/>
  <c r="L12" i="90"/>
  <c r="F38" i="90"/>
  <c r="F34" i="90"/>
  <c r="F27" i="90"/>
  <c r="D21" i="90"/>
  <c r="F19" i="90"/>
  <c r="Z17" i="90"/>
  <c r="Z38" i="90"/>
  <c r="J32" i="85"/>
  <c r="J46" i="85"/>
  <c r="F19" i="86"/>
  <c r="V19" i="86"/>
  <c r="R20" i="86"/>
  <c r="V23" i="86"/>
  <c r="R27" i="86"/>
  <c r="R33" i="86"/>
  <c r="V16" i="87"/>
  <c r="V22" i="87"/>
  <c r="R26" i="87"/>
  <c r="J28" i="87"/>
  <c r="R32" i="87"/>
  <c r="J35" i="87"/>
  <c r="V39" i="88"/>
  <c r="V33" i="88"/>
  <c r="V27" i="88"/>
  <c r="V23" i="88"/>
  <c r="V19" i="88"/>
  <c r="V29" i="88"/>
  <c r="V28" i="88"/>
  <c r="V42" i="88"/>
  <c r="V37" i="88"/>
  <c r="V35" i="88"/>
  <c r="V31" i="88"/>
  <c r="T17" i="88"/>
  <c r="L20" i="88"/>
  <c r="V20" i="88"/>
  <c r="V21" i="88"/>
  <c r="V22" i="88"/>
  <c r="V26" i="88"/>
  <c r="L18" i="89"/>
  <c r="Z28" i="89"/>
  <c r="F44" i="90"/>
  <c r="J21" i="85"/>
  <c r="J35" i="85"/>
  <c r="J41" i="85"/>
  <c r="J49" i="85"/>
  <c r="J55" i="85"/>
  <c r="Z12" i="86"/>
  <c r="R14" i="86"/>
  <c r="R18" i="86"/>
  <c r="V20" i="86"/>
  <c r="F25" i="86"/>
  <c r="F31" i="86"/>
  <c r="X12" i="87"/>
  <c r="H16" i="87"/>
  <c r="V19" i="87"/>
  <c r="R20" i="87"/>
  <c r="J21" i="87"/>
  <c r="X12" i="88"/>
  <c r="J15" i="88"/>
  <c r="V17" i="88"/>
  <c r="N44" i="90"/>
  <c r="J22" i="85"/>
  <c r="J28" i="85"/>
  <c r="J38" i="85"/>
  <c r="V21" i="86"/>
  <c r="F27" i="86"/>
  <c r="V27" i="86"/>
  <c r="R14" i="87"/>
  <c r="J16" i="87"/>
  <c r="V20" i="87"/>
  <c r="J24" i="87"/>
  <c r="V26" i="87"/>
  <c r="R14" i="88"/>
  <c r="H39" i="88"/>
  <c r="J25" i="88"/>
  <c r="J43" i="89"/>
  <c r="J37" i="89"/>
  <c r="J29" i="89"/>
  <c r="J25" i="89"/>
  <c r="J19" i="89"/>
  <c r="J34" i="89"/>
  <c r="J24" i="89"/>
  <c r="J16" i="89"/>
  <c r="J48" i="89"/>
  <c r="J41" i="89"/>
  <c r="J31" i="89"/>
  <c r="J23" i="89"/>
  <c r="H16" i="89"/>
  <c r="J36" i="89"/>
  <c r="J28" i="89"/>
  <c r="J22" i="89"/>
  <c r="J33" i="89"/>
  <c r="J21" i="89"/>
  <c r="J30" i="89"/>
  <c r="J20" i="89"/>
  <c r="J18" i="89"/>
  <c r="J14" i="89"/>
  <c r="N12" i="89"/>
  <c r="J45" i="89"/>
  <c r="J39" i="89"/>
  <c r="J35" i="89"/>
  <c r="N18" i="89"/>
  <c r="Z36" i="89"/>
  <c r="T12" i="90"/>
  <c r="Z15" i="90"/>
  <c r="X15" i="90"/>
  <c r="R41" i="89"/>
  <c r="R48" i="89"/>
  <c r="J55" i="90"/>
  <c r="J51" i="90"/>
  <c r="J60" i="90"/>
  <c r="J54" i="90"/>
  <c r="J50" i="90"/>
  <c r="J58" i="90"/>
  <c r="J44" i="90"/>
  <c r="J67" i="90"/>
  <c r="J61" i="90"/>
  <c r="J18" i="90"/>
  <c r="J26" i="90"/>
  <c r="J40" i="90"/>
  <c r="J56" i="90"/>
  <c r="V71" i="92"/>
  <c r="V65" i="92"/>
  <c r="V74" i="92"/>
  <c r="V69" i="92"/>
  <c r="V67" i="92"/>
  <c r="V63" i="92"/>
  <c r="V50" i="92"/>
  <c r="V42" i="92"/>
  <c r="V34" i="92"/>
  <c r="V30" i="92"/>
  <c r="T21" i="92"/>
  <c r="V61" i="92"/>
  <c r="V57" i="92"/>
  <c r="V53" i="92"/>
  <c r="V49" i="92"/>
  <c r="V41" i="92"/>
  <c r="V29" i="92"/>
  <c r="V60" i="92"/>
  <c r="V56" i="92"/>
  <c r="V52" i="92"/>
  <c r="V44" i="92"/>
  <c r="V28" i="92"/>
  <c r="Z12" i="92"/>
  <c r="V59" i="92"/>
  <c r="V55" i="92"/>
  <c r="V51" i="92"/>
  <c r="V43" i="92"/>
  <c r="V27" i="92"/>
  <c r="V23" i="92"/>
  <c r="V19" i="92"/>
  <c r="V62" i="92"/>
  <c r="V58" i="92"/>
  <c r="V54" i="92"/>
  <c r="V46" i="92"/>
  <c r="V38" i="92"/>
  <c r="V26" i="92"/>
  <c r="V45" i="92"/>
  <c r="V37" i="92"/>
  <c r="V33" i="92"/>
  <c r="V25" i="92"/>
  <c r="V17" i="92"/>
  <c r="V48" i="92"/>
  <c r="V40" i="92"/>
  <c r="V36" i="92"/>
  <c r="V32" i="92"/>
  <c r="V24" i="92"/>
  <c r="D12" i="92"/>
  <c r="L14" i="92"/>
  <c r="Z23" i="92"/>
  <c r="N34" i="92"/>
  <c r="N45" i="92"/>
  <c r="V47" i="92"/>
  <c r="Z62" i="92"/>
  <c r="R36" i="97"/>
  <c r="R33" i="97"/>
  <c r="R29" i="97"/>
  <c r="R25" i="97"/>
  <c r="P18" i="97"/>
  <c r="R15" i="97"/>
  <c r="R22" i="97"/>
  <c r="X12" i="97"/>
  <c r="R20" i="97"/>
  <c r="R16" i="97"/>
  <c r="R18" i="97"/>
  <c r="R34" i="97"/>
  <c r="R24" i="97"/>
  <c r="R27" i="97"/>
  <c r="R21" i="97"/>
  <c r="R31" i="97"/>
  <c r="Z14" i="89"/>
  <c r="R16" i="89"/>
  <c r="F21" i="89"/>
  <c r="V24" i="89"/>
  <c r="R25" i="89"/>
  <c r="F28" i="89"/>
  <c r="V28" i="89"/>
  <c r="R29" i="89"/>
  <c r="F33" i="89"/>
  <c r="R34" i="89"/>
  <c r="F36" i="89"/>
  <c r="V36" i="89"/>
  <c r="R37" i="89"/>
  <c r="R43" i="89"/>
  <c r="J19" i="90"/>
  <c r="J27" i="90"/>
  <c r="J45" i="90"/>
  <c r="L54" i="90"/>
  <c r="J59" i="90"/>
  <c r="X60" i="90"/>
  <c r="J24" i="91"/>
  <c r="J31" i="91"/>
  <c r="D16" i="89"/>
  <c r="R19" i="89"/>
  <c r="F22" i="89"/>
  <c r="V25" i="89"/>
  <c r="R26" i="89"/>
  <c r="V29" i="89"/>
  <c r="V37" i="89"/>
  <c r="F41" i="89"/>
  <c r="V41" i="89"/>
  <c r="V43" i="89"/>
  <c r="F48" i="89"/>
  <c r="V48" i="89"/>
  <c r="N12" i="90"/>
  <c r="H21" i="90"/>
  <c r="J28" i="90"/>
  <c r="J34" i="90"/>
  <c r="J38" i="90"/>
  <c r="Z60" i="90"/>
  <c r="J63" i="90"/>
  <c r="T31" i="91"/>
  <c r="Z51" i="92"/>
  <c r="J26" i="94"/>
  <c r="J20" i="94"/>
  <c r="J16" i="94"/>
  <c r="H16" i="94"/>
  <c r="J31" i="94"/>
  <c r="J24" i="94"/>
  <c r="J21" i="94"/>
  <c r="J18" i="94"/>
  <c r="J14" i="94"/>
  <c r="N12" i="94"/>
  <c r="J22" i="94"/>
  <c r="J28" i="94"/>
  <c r="F16" i="89"/>
  <c r="V16" i="89"/>
  <c r="F23" i="89"/>
  <c r="V26" i="89"/>
  <c r="R27" i="89"/>
  <c r="F31" i="89"/>
  <c r="R32" i="89"/>
  <c r="F34" i="89"/>
  <c r="V34" i="89"/>
  <c r="R35" i="89"/>
  <c r="P12" i="90"/>
  <c r="J21" i="90"/>
  <c r="J29" i="90"/>
  <c r="J41" i="90"/>
  <c r="N46" i="90"/>
  <c r="Z50" i="90"/>
  <c r="L16" i="91"/>
  <c r="H12" i="92"/>
  <c r="N13" i="92"/>
  <c r="L13" i="92"/>
  <c r="V21" i="92"/>
  <c r="V31" i="92"/>
  <c r="F19" i="89"/>
  <c r="F24" i="89"/>
  <c r="V35" i="89"/>
  <c r="R39" i="89"/>
  <c r="R45" i="89"/>
  <c r="J24" i="90"/>
  <c r="J30" i="90"/>
  <c r="J46" i="90"/>
  <c r="J47" i="90"/>
  <c r="J53" i="90"/>
  <c r="X13" i="92"/>
  <c r="P12" i="92"/>
  <c r="X24" i="92"/>
  <c r="Z24" i="92" s="1"/>
  <c r="D12" i="95"/>
  <c r="L13" i="95"/>
  <c r="Z12" i="89"/>
  <c r="R14" i="89"/>
  <c r="R18" i="89"/>
  <c r="V20" i="89"/>
  <c r="R21" i="89"/>
  <c r="F25" i="89"/>
  <c r="F29" i="89"/>
  <c r="R30" i="89"/>
  <c r="F32" i="89"/>
  <c r="V32" i="89"/>
  <c r="R33" i="89"/>
  <c r="F37" i="89"/>
  <c r="F43" i="89"/>
  <c r="J17" i="90"/>
  <c r="J31" i="90"/>
  <c r="J35" i="90"/>
  <c r="J39" i="90"/>
  <c r="J42" i="90"/>
  <c r="Z44" i="90"/>
  <c r="J52" i="90"/>
  <c r="V21" i="89"/>
  <c r="F26" i="89"/>
  <c r="V33" i="89"/>
  <c r="F39" i="89"/>
  <c r="V39" i="89"/>
  <c r="J32" i="90"/>
  <c r="J36" i="90"/>
  <c r="J48" i="90"/>
  <c r="Z54" i="90"/>
  <c r="J28" i="91"/>
  <c r="J22" i="91"/>
  <c r="J26" i="91"/>
  <c r="J20" i="91"/>
  <c r="J18" i="91"/>
  <c r="J14" i="91"/>
  <c r="N12" i="91"/>
  <c r="L12" i="91"/>
  <c r="J19" i="91"/>
  <c r="J16" i="91"/>
  <c r="L17" i="92"/>
  <c r="V39" i="92"/>
  <c r="R14" i="91"/>
  <c r="R18" i="91"/>
  <c r="N18" i="93"/>
  <c r="Z21" i="94"/>
  <c r="T20" i="94"/>
  <c r="N13" i="95"/>
  <c r="N38" i="95"/>
  <c r="J52" i="95"/>
  <c r="R44" i="95"/>
  <c r="R39" i="95"/>
  <c r="R36" i="95"/>
  <c r="R52" i="95"/>
  <c r="R41" i="95"/>
  <c r="R38" i="95"/>
  <c r="R33" i="95"/>
  <c r="R21" i="95"/>
  <c r="R47" i="95"/>
  <c r="R19" i="95"/>
  <c r="R15" i="95"/>
  <c r="R48" i="95"/>
  <c r="R37" i="95"/>
  <c r="R28" i="95"/>
  <c r="R27" i="95"/>
  <c r="R26" i="95"/>
  <c r="X12" i="95"/>
  <c r="Z12" i="95" s="1"/>
  <c r="R25" i="95"/>
  <c r="R24" i="95"/>
  <c r="R23" i="95"/>
  <c r="R35" i="95"/>
  <c r="R34" i="95"/>
  <c r="R32" i="95"/>
  <c r="R22" i="95"/>
  <c r="R20" i="95"/>
  <c r="R17" i="95"/>
  <c r="R31" i="95"/>
  <c r="R30" i="95"/>
  <c r="P17" i="95"/>
  <c r="R42" i="95"/>
  <c r="Z18" i="93"/>
  <c r="Z38" i="95"/>
  <c r="X38" i="95"/>
  <c r="P16" i="91"/>
  <c r="F20" i="91"/>
  <c r="F26" i="91"/>
  <c r="H51" i="93"/>
  <c r="N16" i="93"/>
  <c r="X19" i="95"/>
  <c r="Z19" i="95" s="1"/>
  <c r="L34" i="95"/>
  <c r="N34" i="95" s="1"/>
  <c r="R40" i="95"/>
  <c r="R43" i="95"/>
  <c r="R16" i="91"/>
  <c r="J40" i="95"/>
  <c r="J45" i="95"/>
  <c r="J48" i="95"/>
  <c r="J42" i="95"/>
  <c r="J34" i="95"/>
  <c r="J24" i="95"/>
  <c r="J39" i="95"/>
  <c r="J44" i="95"/>
  <c r="J33" i="95"/>
  <c r="J31" i="95"/>
  <c r="J30" i="95"/>
  <c r="J20" i="95"/>
  <c r="J17" i="95"/>
  <c r="H17" i="95"/>
  <c r="J43" i="95"/>
  <c r="J41" i="95"/>
  <c r="J29" i="95"/>
  <c r="J47" i="95"/>
  <c r="J38" i="95"/>
  <c r="J37" i="95"/>
  <c r="J36" i="95"/>
  <c r="J28" i="95"/>
  <c r="J19" i="95"/>
  <c r="J15" i="95"/>
  <c r="J27" i="95"/>
  <c r="J26" i="95"/>
  <c r="J25" i="95"/>
  <c r="J23" i="95"/>
  <c r="J22" i="95"/>
  <c r="J21" i="95"/>
  <c r="R19" i="91"/>
  <c r="P55" i="93"/>
  <c r="L21" i="94"/>
  <c r="D20" i="94"/>
  <c r="R24" i="91"/>
  <c r="F45" i="93"/>
  <c r="F25" i="93"/>
  <c r="F55" i="93"/>
  <c r="F49" i="93"/>
  <c r="F39" i="93"/>
  <c r="F36" i="93"/>
  <c r="F53" i="93"/>
  <c r="F47" i="93"/>
  <c r="F23" i="93"/>
  <c r="F16" i="93"/>
  <c r="F41" i="93"/>
  <c r="F38" i="93"/>
  <c r="F33" i="93"/>
  <c r="F29" i="93"/>
  <c r="F22" i="93"/>
  <c r="D16" i="93"/>
  <c r="F44" i="93"/>
  <c r="F21" i="93"/>
  <c r="F58" i="93"/>
  <c r="F51" i="93"/>
  <c r="F40" i="93"/>
  <c r="F35" i="93"/>
  <c r="F32" i="93"/>
  <c r="F28" i="93"/>
  <c r="F46" i="93"/>
  <c r="F43" i="93"/>
  <c r="F31" i="93"/>
  <c r="F27" i="93"/>
  <c r="F18" i="93"/>
  <c r="F14" i="93"/>
  <c r="F19" i="93"/>
  <c r="F37" i="93"/>
  <c r="X46" i="93"/>
  <c r="Z46" i="93" s="1"/>
  <c r="L16" i="94"/>
  <c r="D24" i="94"/>
  <c r="N21" i="94"/>
  <c r="X15" i="95"/>
  <c r="R45" i="95"/>
  <c r="V14" i="93"/>
  <c r="V18" i="93"/>
  <c r="V22" i="93"/>
  <c r="R23" i="93"/>
  <c r="J26" i="93"/>
  <c r="J30" i="93"/>
  <c r="J34" i="93"/>
  <c r="V38" i="93"/>
  <c r="J42" i="93"/>
  <c r="R44" i="93"/>
  <c r="V46" i="93"/>
  <c r="R47" i="93"/>
  <c r="R53" i="93"/>
  <c r="L12" i="94"/>
  <c r="P16" i="94"/>
  <c r="P20" i="94"/>
  <c r="X20" i="94" s="1"/>
  <c r="F21" i="94"/>
  <c r="V21" i="94"/>
  <c r="R26" i="94"/>
  <c r="V15" i="95"/>
  <c r="V19" i="95"/>
  <c r="V45" i="95"/>
  <c r="V21" i="96"/>
  <c r="V31" i="96"/>
  <c r="H27" i="97"/>
  <c r="X25" i="98"/>
  <c r="R33" i="93"/>
  <c r="V35" i="93"/>
  <c r="R36" i="93"/>
  <c r="J37" i="93"/>
  <c r="R41" i="93"/>
  <c r="J43" i="93"/>
  <c r="V47" i="93"/>
  <c r="V51" i="93"/>
  <c r="V53" i="93"/>
  <c r="V58" i="93"/>
  <c r="L29" i="95"/>
  <c r="N29" i="95" s="1"/>
  <c r="V29" i="95"/>
  <c r="V33" i="95"/>
  <c r="N36" i="95"/>
  <c r="Z42" i="95"/>
  <c r="V44" i="95"/>
  <c r="L48" i="95"/>
  <c r="N48" i="95" s="1"/>
  <c r="D47" i="95"/>
  <c r="L47" i="95" s="1"/>
  <c r="N47" i="95" s="1"/>
  <c r="V24" i="96"/>
  <c r="V34" i="96"/>
  <c r="R16" i="93"/>
  <c r="J18" i="93"/>
  <c r="J20" i="93"/>
  <c r="V24" i="93"/>
  <c r="R25" i="93"/>
  <c r="J28" i="93"/>
  <c r="J32" i="93"/>
  <c r="V36" i="93"/>
  <c r="J40" i="93"/>
  <c r="V44" i="93"/>
  <c r="R45" i="93"/>
  <c r="J46" i="93"/>
  <c r="T16" i="94"/>
  <c r="V30" i="95"/>
  <c r="V31" i="95"/>
  <c r="X44" i="95"/>
  <c r="Z44" i="95" s="1"/>
  <c r="R21" i="96"/>
  <c r="R18" i="96"/>
  <c r="R36" i="96"/>
  <c r="R33" i="96"/>
  <c r="R29" i="96"/>
  <c r="R25" i="96"/>
  <c r="P18" i="96"/>
  <c r="R15" i="96"/>
  <c r="R22" i="96"/>
  <c r="R24" i="96"/>
  <c r="X13" i="96"/>
  <c r="L16" i="98"/>
  <c r="T16" i="93"/>
  <c r="R19" i="93"/>
  <c r="J21" i="93"/>
  <c r="V25" i="93"/>
  <c r="R26" i="93"/>
  <c r="V29" i="93"/>
  <c r="R30" i="93"/>
  <c r="V33" i="93"/>
  <c r="R34" i="93"/>
  <c r="J35" i="93"/>
  <c r="R39" i="93"/>
  <c r="V41" i="93"/>
  <c r="R42" i="93"/>
  <c r="V45" i="93"/>
  <c r="R49" i="93"/>
  <c r="J51" i="93"/>
  <c r="R55" i="93"/>
  <c r="J58" i="93"/>
  <c r="V16" i="94"/>
  <c r="R22" i="94"/>
  <c r="R28" i="94"/>
  <c r="V52" i="95"/>
  <c r="V38" i="95"/>
  <c r="V47" i="95"/>
  <c r="V40" i="95"/>
  <c r="V32" i="95"/>
  <c r="V28" i="95"/>
  <c r="V20" i="95"/>
  <c r="V43" i="95"/>
  <c r="T17" i="95"/>
  <c r="V17" i="95" s="1"/>
  <c r="V21" i="95"/>
  <c r="V22" i="95"/>
  <c r="Z34" i="95"/>
  <c r="V35" i="95"/>
  <c r="V36" i="96"/>
  <c r="V33" i="96"/>
  <c r="V29" i="96"/>
  <c r="V25" i="96"/>
  <c r="T18" i="96"/>
  <c r="V15" i="96"/>
  <c r="V22" i="96"/>
  <c r="V20" i="96"/>
  <c r="V16" i="96"/>
  <c r="Z12" i="96"/>
  <c r="V18" i="96"/>
  <c r="R16" i="96"/>
  <c r="L22" i="97"/>
  <c r="F34" i="98"/>
  <c r="F31" i="98"/>
  <c r="F27" i="98"/>
  <c r="F24" i="98"/>
  <c r="F21" i="98"/>
  <c r="F18" i="98"/>
  <c r="F36" i="98"/>
  <c r="F33" i="98"/>
  <c r="F29" i="98"/>
  <c r="F25" i="98"/>
  <c r="F20" i="98"/>
  <c r="F16" i="98"/>
  <c r="T27" i="98"/>
  <c r="Z18" i="98"/>
  <c r="V16" i="93"/>
  <c r="J22" i="93"/>
  <c r="V26" i="93"/>
  <c r="R27" i="93"/>
  <c r="V30" i="93"/>
  <c r="R31" i="93"/>
  <c r="V34" i="93"/>
  <c r="J38" i="93"/>
  <c r="V42" i="93"/>
  <c r="R43" i="93"/>
  <c r="J44" i="93"/>
  <c r="H20" i="94"/>
  <c r="V23" i="95"/>
  <c r="V24" i="95"/>
  <c r="V25" i="95"/>
  <c r="V34" i="95"/>
  <c r="L40" i="95"/>
  <c r="X12" i="96"/>
  <c r="J21" i="98"/>
  <c r="J18" i="98"/>
  <c r="J36" i="98"/>
  <c r="J33" i="98"/>
  <c r="J29" i="98"/>
  <c r="J25" i="98"/>
  <c r="H18" i="98"/>
  <c r="J15" i="98"/>
  <c r="J22" i="98"/>
  <c r="N12" i="98"/>
  <c r="J34" i="98"/>
  <c r="J31" i="98"/>
  <c r="J27" i="98"/>
  <c r="J24" i="98"/>
  <c r="X22" i="98"/>
  <c r="X33" i="98"/>
  <c r="V39" i="93"/>
  <c r="V43" i="93"/>
  <c r="J47" i="93"/>
  <c r="V49" i="93"/>
  <c r="J53" i="93"/>
  <c r="V55" i="93"/>
  <c r="V26" i="95"/>
  <c r="V27" i="95"/>
  <c r="N44" i="95"/>
  <c r="L13" i="97"/>
  <c r="L12" i="98"/>
  <c r="Z12" i="93"/>
  <c r="R14" i="93"/>
  <c r="J16" i="93"/>
  <c r="R18" i="93"/>
  <c r="V20" i="93"/>
  <c r="R21" i="93"/>
  <c r="J24" i="93"/>
  <c r="V28" i="93"/>
  <c r="V32" i="93"/>
  <c r="V36" i="95"/>
  <c r="V37" i="95"/>
  <c r="V39" i="95"/>
  <c r="P47" i="95"/>
  <c r="X47" i="95" s="1"/>
  <c r="Z48" i="95"/>
  <c r="T47" i="95"/>
  <c r="X20" i="96"/>
  <c r="R31" i="96"/>
  <c r="X34" i="96"/>
  <c r="J20" i="98"/>
  <c r="L22" i="98"/>
  <c r="X29" i="98"/>
  <c r="J22" i="96"/>
  <c r="J16" i="97"/>
  <c r="J20" i="97"/>
  <c r="Z12" i="98"/>
  <c r="V16" i="98"/>
  <c r="V20" i="98"/>
  <c r="R22" i="98"/>
  <c r="R25" i="98"/>
  <c r="R29" i="98"/>
  <c r="R33" i="98"/>
  <c r="R36" i="98"/>
  <c r="V25" i="98"/>
  <c r="V29" i="98"/>
  <c r="V33" i="98"/>
  <c r="V36" i="98"/>
  <c r="F16" i="96"/>
  <c r="F20" i="96"/>
  <c r="J24" i="96"/>
  <c r="J18" i="97"/>
  <c r="F24" i="97"/>
  <c r="V24" i="97"/>
  <c r="V18" i="98"/>
  <c r="R24" i="98"/>
  <c r="J27" i="96"/>
  <c r="J31" i="96"/>
  <c r="J34" i="96"/>
  <c r="J21" i="97"/>
  <c r="F27" i="97"/>
  <c r="V27" i="97"/>
  <c r="F31" i="97"/>
  <c r="V31" i="97"/>
  <c r="V21" i="98"/>
  <c r="R27" i="98"/>
  <c r="R31" i="98"/>
  <c r="J16" i="96"/>
  <c r="J20" i="96"/>
  <c r="J24" i="97"/>
  <c r="V24" i="98"/>
  <c r="F29" i="96"/>
  <c r="F33" i="96"/>
  <c r="J27" i="97"/>
  <c r="J31" i="97"/>
  <c r="X12" i="98"/>
  <c r="V27" i="98"/>
  <c r="V31" i="98"/>
  <c r="Z18" i="10" l="1"/>
  <c r="X18" i="23"/>
  <c r="T31" i="17"/>
  <c r="P27" i="98"/>
  <c r="Z27" i="34"/>
  <c r="X18" i="44"/>
  <c r="L18" i="4"/>
  <c r="Z18" i="34"/>
  <c r="Z27" i="4"/>
  <c r="N18" i="96"/>
  <c r="X18" i="16"/>
  <c r="L18" i="98"/>
  <c r="L18" i="10"/>
  <c r="T31" i="43"/>
  <c r="Z31" i="43" s="1"/>
  <c r="Z18" i="97"/>
  <c r="Z18" i="43"/>
  <c r="X18" i="13"/>
  <c r="P27" i="13"/>
  <c r="X27" i="13" s="1"/>
  <c r="L18" i="97"/>
  <c r="N27" i="20"/>
  <c r="H27" i="49"/>
  <c r="N27" i="49" s="1"/>
  <c r="N18" i="29"/>
  <c r="D27" i="97"/>
  <c r="N27" i="29"/>
  <c r="N31" i="29"/>
  <c r="L18" i="13"/>
  <c r="X18" i="10"/>
  <c r="L18" i="8"/>
  <c r="P27" i="10"/>
  <c r="P31" i="10" s="1"/>
  <c r="L18" i="29"/>
  <c r="X18" i="19"/>
  <c r="Z18" i="4"/>
  <c r="N18" i="17"/>
  <c r="Z18" i="53"/>
  <c r="Z18" i="17"/>
  <c r="T31" i="8"/>
  <c r="Z31" i="8" s="1"/>
  <c r="Z18" i="13"/>
  <c r="X18" i="20"/>
  <c r="X18" i="43"/>
  <c r="X18" i="4"/>
  <c r="N18" i="26"/>
  <c r="Z18" i="8"/>
  <c r="D27" i="96"/>
  <c r="D31" i="96" s="1"/>
  <c r="L18" i="96"/>
  <c r="N27" i="17"/>
  <c r="H31" i="17"/>
  <c r="L16" i="86"/>
  <c r="D29" i="86"/>
  <c r="H41" i="67"/>
  <c r="N20" i="67"/>
  <c r="H44" i="61"/>
  <c r="D48" i="59"/>
  <c r="L16" i="59"/>
  <c r="T27" i="49"/>
  <c r="Z18" i="49"/>
  <c r="L18" i="37"/>
  <c r="D27" i="37"/>
  <c r="T52" i="24"/>
  <c r="R179" i="12"/>
  <c r="R175" i="12"/>
  <c r="R163" i="12"/>
  <c r="R155" i="12"/>
  <c r="R151" i="12"/>
  <c r="R147" i="12"/>
  <c r="R130" i="12"/>
  <c r="R123" i="12"/>
  <c r="R118" i="12"/>
  <c r="R114" i="12"/>
  <c r="R102" i="12"/>
  <c r="R86" i="12"/>
  <c r="R78" i="12"/>
  <c r="R70" i="12"/>
  <c r="R184" i="12"/>
  <c r="R169" i="12"/>
  <c r="R141" i="12"/>
  <c r="R138" i="12"/>
  <c r="R126" i="12"/>
  <c r="R113" i="12"/>
  <c r="R101" i="12"/>
  <c r="R93" i="12"/>
  <c r="R85" i="12"/>
  <c r="R77" i="12"/>
  <c r="R69" i="12"/>
  <c r="R172" i="12"/>
  <c r="R168" i="12"/>
  <c r="R144" i="12"/>
  <c r="R132" i="12"/>
  <c r="R129" i="12"/>
  <c r="R120" i="12"/>
  <c r="R117" i="12"/>
  <c r="R112" i="12"/>
  <c r="R108" i="12"/>
  <c r="R100" i="12"/>
  <c r="R97" i="12"/>
  <c r="R92" i="12"/>
  <c r="R84" i="12"/>
  <c r="R76" i="12"/>
  <c r="R68" i="12"/>
  <c r="X12" i="12"/>
  <c r="R182" i="12"/>
  <c r="R171" i="12"/>
  <c r="R167" i="12"/>
  <c r="R159" i="12"/>
  <c r="R143" i="12"/>
  <c r="R140" i="12"/>
  <c r="R135" i="12"/>
  <c r="R111" i="12"/>
  <c r="R107" i="12"/>
  <c r="R99" i="12"/>
  <c r="R91" i="12"/>
  <c r="R83" i="12"/>
  <c r="R75" i="12"/>
  <c r="R67" i="12"/>
  <c r="R185" i="12"/>
  <c r="R178" i="12"/>
  <c r="R174" i="12"/>
  <c r="R166" i="12"/>
  <c r="R162" i="12"/>
  <c r="R158" i="12"/>
  <c r="R154" i="12"/>
  <c r="R150" i="12"/>
  <c r="R146" i="12"/>
  <c r="R134" i="12"/>
  <c r="R131" i="12"/>
  <c r="R122" i="12"/>
  <c r="R119" i="12"/>
  <c r="R110" i="12"/>
  <c r="R106" i="12"/>
  <c r="R90" i="12"/>
  <c r="R82" i="12"/>
  <c r="R74" i="12"/>
  <c r="R66" i="12"/>
  <c r="R177" i="12"/>
  <c r="R170" i="12"/>
  <c r="R165" i="12"/>
  <c r="R161" i="12"/>
  <c r="R157" i="12"/>
  <c r="R153" i="12"/>
  <c r="R149" i="12"/>
  <c r="R142" i="12"/>
  <c r="R137" i="12"/>
  <c r="R125" i="12"/>
  <c r="R105" i="12"/>
  <c r="R98" i="12"/>
  <c r="R89" i="12"/>
  <c r="R81" i="12"/>
  <c r="R73" i="12"/>
  <c r="R65" i="12"/>
  <c r="R183" i="12"/>
  <c r="R180" i="12"/>
  <c r="R176" i="12"/>
  <c r="R173" i="12"/>
  <c r="R164" i="12"/>
  <c r="R156" i="12"/>
  <c r="R152" i="12"/>
  <c r="R148" i="12"/>
  <c r="R145" i="12"/>
  <c r="R133" i="12"/>
  <c r="R128" i="12"/>
  <c r="R124" i="12"/>
  <c r="R121" i="12"/>
  <c r="R116" i="12"/>
  <c r="R109" i="12"/>
  <c r="R104" i="12"/>
  <c r="R95" i="12"/>
  <c r="R88" i="12"/>
  <c r="R80" i="12"/>
  <c r="R72" i="12"/>
  <c r="R103" i="12"/>
  <c r="P95" i="12"/>
  <c r="R127" i="12"/>
  <c r="R115" i="12"/>
  <c r="R87" i="12"/>
  <c r="R189" i="12"/>
  <c r="R79" i="12"/>
  <c r="R71" i="12"/>
  <c r="R139" i="12"/>
  <c r="R136" i="12"/>
  <c r="R64" i="12"/>
  <c r="R160" i="12"/>
  <c r="T31" i="98"/>
  <c r="Z27" i="98"/>
  <c r="D28" i="94"/>
  <c r="P58" i="93"/>
  <c r="R35" i="92"/>
  <c r="R31" i="92"/>
  <c r="R24" i="92"/>
  <c r="R50" i="92"/>
  <c r="R47" i="92"/>
  <c r="R42" i="92"/>
  <c r="R39" i="92"/>
  <c r="R30" i="92"/>
  <c r="R21" i="92"/>
  <c r="R61" i="92"/>
  <c r="R57" i="92"/>
  <c r="R53" i="92"/>
  <c r="R34" i="92"/>
  <c r="R29" i="92"/>
  <c r="P21" i="92"/>
  <c r="R60" i="92"/>
  <c r="R56" i="92"/>
  <c r="R52" i="92"/>
  <c r="R49" i="92"/>
  <c r="R44" i="92"/>
  <c r="R41" i="92"/>
  <c r="R28" i="92"/>
  <c r="X12" i="92"/>
  <c r="R65" i="92"/>
  <c r="R59" i="92"/>
  <c r="R55" i="92"/>
  <c r="R27" i="92"/>
  <c r="R63" i="92"/>
  <c r="R51" i="92"/>
  <c r="R46" i="92"/>
  <c r="R43" i="92"/>
  <c r="R38" i="92"/>
  <c r="R26" i="92"/>
  <c r="R23" i="92"/>
  <c r="R18" i="92"/>
  <c r="R69" i="92"/>
  <c r="R62" i="92"/>
  <c r="R58" i="92"/>
  <c r="R54" i="92"/>
  <c r="R37" i="92"/>
  <c r="R33" i="92"/>
  <c r="R25" i="92"/>
  <c r="R19" i="92"/>
  <c r="R48" i="92"/>
  <c r="R36" i="92"/>
  <c r="R45" i="92"/>
  <c r="R40" i="92"/>
  <c r="R17" i="92"/>
  <c r="R32" i="92"/>
  <c r="H65" i="90"/>
  <c r="T27" i="83"/>
  <c r="Z16" i="87"/>
  <c r="T28" i="87"/>
  <c r="D28" i="87"/>
  <c r="L16" i="87"/>
  <c r="T53" i="85"/>
  <c r="Z16" i="85"/>
  <c r="F34" i="83"/>
  <c r="F27" i="83"/>
  <c r="F17" i="83"/>
  <c r="F22" i="83"/>
  <c r="D17" i="83"/>
  <c r="F21" i="83"/>
  <c r="F31" i="83"/>
  <c r="F25" i="83"/>
  <c r="F19" i="83"/>
  <c r="F15" i="83"/>
  <c r="L12" i="83"/>
  <c r="N12" i="83" s="1"/>
  <c r="F29" i="83"/>
  <c r="F23" i="83"/>
  <c r="F20" i="83"/>
  <c r="H57" i="85"/>
  <c r="P30" i="81"/>
  <c r="X16" i="81"/>
  <c r="P53" i="85"/>
  <c r="X16" i="85"/>
  <c r="T36" i="82"/>
  <c r="Z16" i="82"/>
  <c r="F80" i="77"/>
  <c r="F77" i="77"/>
  <c r="F73" i="77"/>
  <c r="F49" i="77"/>
  <c r="F45" i="77"/>
  <c r="F32" i="77"/>
  <c r="F67" i="77"/>
  <c r="F64" i="77"/>
  <c r="F59" i="77"/>
  <c r="F56" i="77"/>
  <c r="F48" i="77"/>
  <c r="F44" i="77"/>
  <c r="L12" i="77"/>
  <c r="F79" i="77"/>
  <c r="F70" i="77"/>
  <c r="F43" i="77"/>
  <c r="F38" i="77"/>
  <c r="F83" i="77"/>
  <c r="F66" i="77"/>
  <c r="F61" i="77"/>
  <c r="F58" i="77"/>
  <c r="F53" i="77"/>
  <c r="F42" i="77"/>
  <c r="F81" i="77"/>
  <c r="F76" i="77"/>
  <c r="F72" i="77"/>
  <c r="F69" i="77"/>
  <c r="F41" i="77"/>
  <c r="D35" i="77"/>
  <c r="F33" i="77"/>
  <c r="F87" i="77"/>
  <c r="F68" i="77"/>
  <c r="F63" i="77"/>
  <c r="F60" i="77"/>
  <c r="F55" i="77"/>
  <c r="F52" i="77"/>
  <c r="F47" i="77"/>
  <c r="F40" i="77"/>
  <c r="F78" i="77"/>
  <c r="F75" i="77"/>
  <c r="F71" i="77"/>
  <c r="F51" i="77"/>
  <c r="F39" i="77"/>
  <c r="F50" i="77"/>
  <c r="F57" i="77"/>
  <c r="F62" i="77"/>
  <c r="F54" i="77"/>
  <c r="F74" i="77"/>
  <c r="F65" i="77"/>
  <c r="F46" i="77"/>
  <c r="F37" i="77"/>
  <c r="J79" i="71"/>
  <c r="J75" i="71"/>
  <c r="J61" i="71"/>
  <c r="J57" i="71"/>
  <c r="J51" i="71"/>
  <c r="H44" i="71"/>
  <c r="J35" i="71"/>
  <c r="J88" i="71"/>
  <c r="J82" i="71"/>
  <c r="J72" i="71"/>
  <c r="J66" i="71"/>
  <c r="J50" i="71"/>
  <c r="J42" i="71"/>
  <c r="J34" i="71"/>
  <c r="J69" i="71"/>
  <c r="J63" i="71"/>
  <c r="J49" i="71"/>
  <c r="J41" i="71"/>
  <c r="J33" i="71"/>
  <c r="J78" i="71"/>
  <c r="J74" i="71"/>
  <c r="J68" i="71"/>
  <c r="J60" i="71"/>
  <c r="J56" i="71"/>
  <c r="J48" i="71"/>
  <c r="J46" i="71"/>
  <c r="J40" i="71"/>
  <c r="J83" i="71"/>
  <c r="J71" i="71"/>
  <c r="J65" i="71"/>
  <c r="J59" i="71"/>
  <c r="J55" i="71"/>
  <c r="J39" i="71"/>
  <c r="J62" i="71"/>
  <c r="J58" i="71"/>
  <c r="J54" i="71"/>
  <c r="J38" i="71"/>
  <c r="J32" i="71"/>
  <c r="J53" i="71"/>
  <c r="J73" i="71"/>
  <c r="J64" i="71"/>
  <c r="J47" i="71"/>
  <c r="J36" i="71"/>
  <c r="J81" i="71"/>
  <c r="J76" i="71"/>
  <c r="J77" i="71"/>
  <c r="J70" i="71"/>
  <c r="J37" i="71"/>
  <c r="J44" i="71"/>
  <c r="J67" i="71"/>
  <c r="J84" i="71"/>
  <c r="J52" i="71"/>
  <c r="F25" i="75"/>
  <c r="F18" i="75"/>
  <c r="F27" i="75"/>
  <c r="F31" i="75"/>
  <c r="D23" i="75"/>
  <c r="F21" i="75"/>
  <c r="F20" i="75"/>
  <c r="L12" i="75"/>
  <c r="N12" i="75" s="1"/>
  <c r="F19" i="75"/>
  <c r="N82" i="62"/>
  <c r="L82" i="62"/>
  <c r="P34" i="63"/>
  <c r="X16" i="63"/>
  <c r="P97" i="66"/>
  <c r="P89" i="62"/>
  <c r="D53" i="57"/>
  <c r="L16" i="57"/>
  <c r="D53" i="56"/>
  <c r="L16" i="56"/>
  <c r="T52" i="59"/>
  <c r="N16" i="58"/>
  <c r="H57" i="58"/>
  <c r="L18" i="49"/>
  <c r="D27" i="49"/>
  <c r="D50" i="48"/>
  <c r="Z81" i="42"/>
  <c r="H27" i="34"/>
  <c r="N18" i="34"/>
  <c r="L18" i="34"/>
  <c r="H27" i="23"/>
  <c r="N18" i="23"/>
  <c r="J47" i="24"/>
  <c r="J41" i="24"/>
  <c r="J33" i="24"/>
  <c r="J23" i="24"/>
  <c r="J44" i="24"/>
  <c r="J38" i="24"/>
  <c r="J30" i="24"/>
  <c r="N12" i="24"/>
  <c r="J43" i="24"/>
  <c r="J35" i="24"/>
  <c r="J27" i="24"/>
  <c r="J56" i="24"/>
  <c r="J50" i="24"/>
  <c r="J46" i="24"/>
  <c r="J40" i="24"/>
  <c r="J32" i="24"/>
  <c r="H27" i="24"/>
  <c r="J37" i="24"/>
  <c r="J25" i="24"/>
  <c r="J54" i="24"/>
  <c r="J48" i="24"/>
  <c r="J42" i="24"/>
  <c r="J34" i="24"/>
  <c r="J24" i="24"/>
  <c r="J45" i="24"/>
  <c r="J39" i="24"/>
  <c r="J31" i="24"/>
  <c r="J29" i="24"/>
  <c r="J36" i="24"/>
  <c r="J52" i="24"/>
  <c r="J59" i="24"/>
  <c r="T27" i="32"/>
  <c r="Z18" i="32"/>
  <c r="X18" i="25"/>
  <c r="P27" i="25"/>
  <c r="N93" i="27"/>
  <c r="R203" i="18"/>
  <c r="R177" i="18"/>
  <c r="R156" i="18"/>
  <c r="R144" i="18"/>
  <c r="R124" i="18"/>
  <c r="R117" i="18"/>
  <c r="R108" i="18"/>
  <c r="R100" i="18"/>
  <c r="R92" i="18"/>
  <c r="R84" i="18"/>
  <c r="X12" i="18"/>
  <c r="R196" i="18"/>
  <c r="R192" i="18"/>
  <c r="R180" i="18"/>
  <c r="R172" i="18"/>
  <c r="R168" i="18"/>
  <c r="R164" i="18"/>
  <c r="R152" i="18"/>
  <c r="R147" i="18"/>
  <c r="R143" i="18"/>
  <c r="R140" i="18"/>
  <c r="R135" i="18"/>
  <c r="R128" i="18"/>
  <c r="R123" i="18"/>
  <c r="R107" i="18"/>
  <c r="R99" i="18"/>
  <c r="R91" i="18"/>
  <c r="R83" i="18"/>
  <c r="R201" i="18"/>
  <c r="R186" i="18"/>
  <c r="R158" i="18"/>
  <c r="R155" i="18"/>
  <c r="R146" i="18"/>
  <c r="R134" i="18"/>
  <c r="R122" i="18"/>
  <c r="P114" i="18"/>
  <c r="R106" i="18"/>
  <c r="R98" i="18"/>
  <c r="R90" i="18"/>
  <c r="R82" i="18"/>
  <c r="R204" i="18"/>
  <c r="R189" i="18"/>
  <c r="R185" i="18"/>
  <c r="R161" i="18"/>
  <c r="R149" i="18"/>
  <c r="R142" i="18"/>
  <c r="R137" i="18"/>
  <c r="R133" i="18"/>
  <c r="R121" i="18"/>
  <c r="R105" i="18"/>
  <c r="R97" i="18"/>
  <c r="R89" i="18"/>
  <c r="R81" i="18"/>
  <c r="R199" i="18"/>
  <c r="R188" i="18"/>
  <c r="R184" i="18"/>
  <c r="R176" i="18"/>
  <c r="R160" i="18"/>
  <c r="R157" i="18"/>
  <c r="R145" i="18"/>
  <c r="R132" i="18"/>
  <c r="R120" i="18"/>
  <c r="R112" i="18"/>
  <c r="R104" i="18"/>
  <c r="R96" i="18"/>
  <c r="R88" i="18"/>
  <c r="R80" i="18"/>
  <c r="R202" i="18"/>
  <c r="R195" i="18"/>
  <c r="R191" i="18"/>
  <c r="R183" i="18"/>
  <c r="R179" i="18"/>
  <c r="R175" i="18"/>
  <c r="R171" i="18"/>
  <c r="R167" i="18"/>
  <c r="R163" i="18"/>
  <c r="R151" i="18"/>
  <c r="R148" i="18"/>
  <c r="R139" i="18"/>
  <c r="R136" i="18"/>
  <c r="R131" i="18"/>
  <c r="R127" i="18"/>
  <c r="R119" i="18"/>
  <c r="R116" i="18"/>
  <c r="R111" i="18"/>
  <c r="R103" i="18"/>
  <c r="R95" i="18"/>
  <c r="R87" i="18"/>
  <c r="R79" i="18"/>
  <c r="R208" i="18"/>
  <c r="R194" i="18"/>
  <c r="R187" i="18"/>
  <c r="R182" i="18"/>
  <c r="R178" i="18"/>
  <c r="R174" i="18"/>
  <c r="R170" i="18"/>
  <c r="R166" i="18"/>
  <c r="R159" i="18"/>
  <c r="R154" i="18"/>
  <c r="R130" i="18"/>
  <c r="R126" i="18"/>
  <c r="R118" i="18"/>
  <c r="R110" i="18"/>
  <c r="R102" i="18"/>
  <c r="R94" i="18"/>
  <c r="R86" i="18"/>
  <c r="R162" i="18"/>
  <c r="R85" i="18"/>
  <c r="R173" i="18"/>
  <c r="R165" i="18"/>
  <c r="R153" i="18"/>
  <c r="R150" i="18"/>
  <c r="R93" i="18"/>
  <c r="R200" i="18"/>
  <c r="R197" i="18"/>
  <c r="R181" i="18"/>
  <c r="R101" i="18"/>
  <c r="R78" i="18"/>
  <c r="R125" i="18"/>
  <c r="R169" i="18"/>
  <c r="R138" i="18"/>
  <c r="R109" i="18"/>
  <c r="R141" i="18"/>
  <c r="R129" i="18"/>
  <c r="R190" i="18"/>
  <c r="R193" i="18"/>
  <c r="L18" i="20"/>
  <c r="D27" i="20"/>
  <c r="X179" i="15"/>
  <c r="Z179" i="15" s="1"/>
  <c r="T27" i="14"/>
  <c r="Z18" i="14"/>
  <c r="D36" i="34"/>
  <c r="H77" i="9"/>
  <c r="N16" i="9"/>
  <c r="D31" i="4"/>
  <c r="X27" i="4"/>
  <c r="P31" i="4"/>
  <c r="L212" i="3"/>
  <c r="F213" i="3"/>
  <c r="F203" i="3"/>
  <c r="F184" i="3"/>
  <c r="F180" i="3"/>
  <c r="F176" i="3"/>
  <c r="F171" i="3"/>
  <c r="F159" i="3"/>
  <c r="F156" i="3"/>
  <c r="F147" i="3"/>
  <c r="F144" i="3"/>
  <c r="F140" i="3"/>
  <c r="F135" i="3"/>
  <c r="F128" i="3"/>
  <c r="F121" i="3"/>
  <c r="F112" i="3"/>
  <c r="F104" i="3"/>
  <c r="F96" i="3"/>
  <c r="F88" i="3"/>
  <c r="F83" i="3"/>
  <c r="F216" i="3"/>
  <c r="F199" i="3"/>
  <c r="F167" i="3"/>
  <c r="F162" i="3"/>
  <c r="F139" i="3"/>
  <c r="F127" i="3"/>
  <c r="D121" i="3"/>
  <c r="F119" i="3"/>
  <c r="F111" i="3"/>
  <c r="F103" i="3"/>
  <c r="F95" i="3"/>
  <c r="F87" i="3"/>
  <c r="F218" i="3"/>
  <c r="F177" i="3"/>
  <c r="F129" i="3"/>
  <c r="F228" i="3"/>
  <c r="F219" i="3"/>
  <c r="F209" i="3"/>
  <c r="F205" i="3"/>
  <c r="F202" i="3"/>
  <c r="F198" i="3"/>
  <c r="F189" i="3"/>
  <c r="F173" i="3"/>
  <c r="F170" i="3"/>
  <c r="F158" i="3"/>
  <c r="F149" i="3"/>
  <c r="F146" i="3"/>
  <c r="F138" i="3"/>
  <c r="F134" i="3"/>
  <c r="F126" i="3"/>
  <c r="F118" i="3"/>
  <c r="F110" i="3"/>
  <c r="F102" i="3"/>
  <c r="F94" i="3"/>
  <c r="F86" i="3"/>
  <c r="L12" i="3"/>
  <c r="N12" i="3" s="1"/>
  <c r="F185" i="3"/>
  <c r="F165" i="3"/>
  <c r="F113" i="3"/>
  <c r="F89" i="3"/>
  <c r="F223" i="3"/>
  <c r="F214" i="3"/>
  <c r="F201" i="3"/>
  <c r="F197" i="3"/>
  <c r="F192" i="3"/>
  <c r="F169" i="3"/>
  <c r="F164" i="3"/>
  <c r="F161" i="3"/>
  <c r="F152" i="3"/>
  <c r="F137" i="3"/>
  <c r="F133" i="3"/>
  <c r="F125" i="3"/>
  <c r="F117" i="3"/>
  <c r="F109" i="3"/>
  <c r="F101" i="3"/>
  <c r="F93" i="3"/>
  <c r="F85" i="3"/>
  <c r="F105" i="3"/>
  <c r="F217" i="3"/>
  <c r="F208" i="3"/>
  <c r="F204" i="3"/>
  <c r="F196" i="3"/>
  <c r="F188" i="3"/>
  <c r="F183" i="3"/>
  <c r="F179" i="3"/>
  <c r="F175" i="3"/>
  <c r="F172" i="3"/>
  <c r="F160" i="3"/>
  <c r="F155" i="3"/>
  <c r="F148" i="3"/>
  <c r="F143" i="3"/>
  <c r="F136" i="3"/>
  <c r="F132" i="3"/>
  <c r="F123" i="3"/>
  <c r="F116" i="3"/>
  <c r="F108" i="3"/>
  <c r="F100" i="3"/>
  <c r="F92" i="3"/>
  <c r="F84" i="3"/>
  <c r="F212" i="3"/>
  <c r="F207" i="3"/>
  <c r="F195" i="3"/>
  <c r="F191" i="3"/>
  <c r="F187" i="3"/>
  <c r="F166" i="3"/>
  <c r="F163" i="3"/>
  <c r="F151" i="3"/>
  <c r="F131" i="3"/>
  <c r="F115" i="3"/>
  <c r="F107" i="3"/>
  <c r="F99" i="3"/>
  <c r="F91" i="3"/>
  <c r="F200" i="3"/>
  <c r="F181" i="3"/>
  <c r="F141" i="3"/>
  <c r="F124" i="3"/>
  <c r="F227" i="3"/>
  <c r="F215" i="3"/>
  <c r="F210" i="3"/>
  <c r="F206" i="3"/>
  <c r="F194" i="3"/>
  <c r="F190" i="3"/>
  <c r="F186" i="3"/>
  <c r="F182" i="3"/>
  <c r="F178" i="3"/>
  <c r="F174" i="3"/>
  <c r="F157" i="3"/>
  <c r="F154" i="3"/>
  <c r="F150" i="3"/>
  <c r="F145" i="3"/>
  <c r="F142" i="3"/>
  <c r="F130" i="3"/>
  <c r="F114" i="3"/>
  <c r="F106" i="3"/>
  <c r="F98" i="3"/>
  <c r="F90" i="3"/>
  <c r="F193" i="3"/>
  <c r="F168" i="3"/>
  <c r="F153" i="3"/>
  <c r="F97" i="3"/>
  <c r="D31" i="6"/>
  <c r="F59" i="70"/>
  <c r="F54" i="70"/>
  <c r="F46" i="70"/>
  <c r="F34" i="70"/>
  <c r="F25" i="70"/>
  <c r="F21" i="70"/>
  <c r="F57" i="70"/>
  <c r="F53" i="70"/>
  <c r="F49" i="70"/>
  <c r="F40" i="70"/>
  <c r="F37" i="70"/>
  <c r="F33" i="70"/>
  <c r="F52" i="70"/>
  <c r="F36" i="70"/>
  <c r="F32" i="70"/>
  <c r="F60" i="70"/>
  <c r="F51" i="70"/>
  <c r="F42" i="70"/>
  <c r="F39" i="70"/>
  <c r="F31" i="70"/>
  <c r="F26" i="70"/>
  <c r="F64" i="70"/>
  <c r="F45" i="70"/>
  <c r="F30" i="70"/>
  <c r="F23" i="70"/>
  <c r="F56" i="70"/>
  <c r="F48" i="70"/>
  <c r="F41" i="70"/>
  <c r="F29" i="70"/>
  <c r="D23" i="70"/>
  <c r="F43" i="70"/>
  <c r="F38" i="70"/>
  <c r="F55" i="70"/>
  <c r="F47" i="70"/>
  <c r="F35" i="70"/>
  <c r="F44" i="70"/>
  <c r="L12" i="70"/>
  <c r="F27" i="70"/>
  <c r="F28" i="70"/>
  <c r="F50" i="70"/>
  <c r="L18" i="38"/>
  <c r="D27" i="38"/>
  <c r="R69" i="90"/>
  <c r="R63" i="90"/>
  <c r="R59" i="90"/>
  <c r="R58" i="90"/>
  <c r="R67" i="90"/>
  <c r="R61" i="90"/>
  <c r="R57" i="90"/>
  <c r="R53" i="90"/>
  <c r="R49" i="90"/>
  <c r="R46" i="90"/>
  <c r="R60" i="90"/>
  <c r="R55" i="90"/>
  <c r="R51" i="90"/>
  <c r="R48" i="90"/>
  <c r="R43" i="90"/>
  <c r="R41" i="90"/>
  <c r="R38" i="90"/>
  <c r="R34" i="90"/>
  <c r="R29" i="90"/>
  <c r="P21" i="90"/>
  <c r="R54" i="90"/>
  <c r="R28" i="90"/>
  <c r="X12" i="90"/>
  <c r="Z12" i="90" s="1"/>
  <c r="R45" i="90"/>
  <c r="R44" i="90"/>
  <c r="R40" i="90"/>
  <c r="R27" i="90"/>
  <c r="R19" i="90"/>
  <c r="R26" i="90"/>
  <c r="R23" i="90"/>
  <c r="R18" i="90"/>
  <c r="R72" i="90"/>
  <c r="R56" i="90"/>
  <c r="R50" i="90"/>
  <c r="R37" i="90"/>
  <c r="R33" i="90"/>
  <c r="R25" i="90"/>
  <c r="R42" i="90"/>
  <c r="R36" i="90"/>
  <c r="R32" i="90"/>
  <c r="R17" i="90"/>
  <c r="R65" i="90"/>
  <c r="R39" i="90"/>
  <c r="R35" i="90"/>
  <c r="R31" i="90"/>
  <c r="R24" i="90"/>
  <c r="R21" i="90"/>
  <c r="R47" i="90"/>
  <c r="R30" i="90"/>
  <c r="R52" i="90"/>
  <c r="D65" i="90"/>
  <c r="L21" i="90"/>
  <c r="N21" i="90" s="1"/>
  <c r="D35" i="88"/>
  <c r="L17" i="88"/>
  <c r="H29" i="75"/>
  <c r="H51" i="78"/>
  <c r="N16" i="78"/>
  <c r="V31" i="75"/>
  <c r="V25" i="75"/>
  <c r="V21" i="75"/>
  <c r="V20" i="75"/>
  <c r="Z12" i="75"/>
  <c r="V19" i="75"/>
  <c r="V18" i="75"/>
  <c r="V27" i="75"/>
  <c r="T23" i="75"/>
  <c r="X23" i="75" s="1"/>
  <c r="F81" i="71"/>
  <c r="F76" i="71"/>
  <c r="F67" i="71"/>
  <c r="F64" i="71"/>
  <c r="F52" i="71"/>
  <c r="F47" i="71"/>
  <c r="F36" i="71"/>
  <c r="L12" i="71"/>
  <c r="N12" i="71" s="1"/>
  <c r="F84" i="71"/>
  <c r="F79" i="71"/>
  <c r="F75" i="71"/>
  <c r="F70" i="71"/>
  <c r="F51" i="71"/>
  <c r="F35" i="71"/>
  <c r="F88" i="71"/>
  <c r="F66" i="71"/>
  <c r="F61" i="71"/>
  <c r="F57" i="71"/>
  <c r="F50" i="71"/>
  <c r="D44" i="71"/>
  <c r="F44" i="71" s="1"/>
  <c r="F42" i="71"/>
  <c r="F34" i="71"/>
  <c r="F82" i="71"/>
  <c r="F72" i="71"/>
  <c r="F69" i="71"/>
  <c r="F49" i="71"/>
  <c r="F41" i="71"/>
  <c r="F33" i="71"/>
  <c r="F68" i="71"/>
  <c r="F63" i="71"/>
  <c r="F60" i="71"/>
  <c r="F56" i="71"/>
  <c r="F48" i="71"/>
  <c r="F40" i="71"/>
  <c r="F78" i="71"/>
  <c r="F74" i="71"/>
  <c r="F71" i="71"/>
  <c r="F59" i="71"/>
  <c r="F55" i="71"/>
  <c r="F46" i="71"/>
  <c r="F39" i="71"/>
  <c r="F53" i="71"/>
  <c r="F32" i="71"/>
  <c r="F73" i="71"/>
  <c r="F65" i="71"/>
  <c r="F54" i="71"/>
  <c r="F77" i="71"/>
  <c r="F58" i="71"/>
  <c r="F37" i="71"/>
  <c r="F62" i="71"/>
  <c r="F38" i="71"/>
  <c r="F83" i="71"/>
  <c r="P85" i="77"/>
  <c r="R83" i="71"/>
  <c r="R68" i="71"/>
  <c r="R65" i="71"/>
  <c r="R60" i="71"/>
  <c r="R56" i="71"/>
  <c r="R48" i="71"/>
  <c r="R40" i="71"/>
  <c r="R71" i="71"/>
  <c r="R59" i="71"/>
  <c r="R55" i="71"/>
  <c r="R39" i="71"/>
  <c r="R32" i="71"/>
  <c r="R81" i="71"/>
  <c r="R67" i="71"/>
  <c r="R62" i="71"/>
  <c r="R58" i="71"/>
  <c r="R54" i="71"/>
  <c r="R47" i="71"/>
  <c r="R38" i="71"/>
  <c r="R84" i="71"/>
  <c r="R77" i="71"/>
  <c r="R73" i="71"/>
  <c r="R70" i="71"/>
  <c r="R53" i="71"/>
  <c r="R37" i="71"/>
  <c r="R76" i="71"/>
  <c r="R64" i="71"/>
  <c r="R61" i="71"/>
  <c r="R57" i="71"/>
  <c r="R52" i="71"/>
  <c r="P44" i="71"/>
  <c r="R44" i="71" s="1"/>
  <c r="R36" i="71"/>
  <c r="X12" i="71"/>
  <c r="R82" i="71"/>
  <c r="R79" i="71"/>
  <c r="R75" i="71"/>
  <c r="R72" i="71"/>
  <c r="R51" i="71"/>
  <c r="R35" i="71"/>
  <c r="R33" i="71"/>
  <c r="R69" i="71"/>
  <c r="R34" i="71"/>
  <c r="R78" i="71"/>
  <c r="R74" i="71"/>
  <c r="R66" i="71"/>
  <c r="R63" i="71"/>
  <c r="R88" i="71"/>
  <c r="R49" i="71"/>
  <c r="R41" i="71"/>
  <c r="R50" i="71"/>
  <c r="R42" i="71"/>
  <c r="R46" i="71"/>
  <c r="V107" i="69"/>
  <c r="V91" i="69"/>
  <c r="V97" i="69"/>
  <c r="V110" i="69"/>
  <c r="V104" i="69"/>
  <c r="V100" i="69"/>
  <c r="V96" i="69"/>
  <c r="V92" i="69"/>
  <c r="V84" i="69"/>
  <c r="V103" i="69"/>
  <c r="V99" i="69"/>
  <c r="V95" i="69"/>
  <c r="V116" i="69"/>
  <c r="V106" i="69"/>
  <c r="V102" i="69"/>
  <c r="V98" i="69"/>
  <c r="V108" i="69"/>
  <c r="V86" i="69"/>
  <c r="V74" i="69"/>
  <c r="V70" i="69"/>
  <c r="V66" i="69"/>
  <c r="V58" i="69"/>
  <c r="V50" i="69"/>
  <c r="V112" i="69"/>
  <c r="V90" i="69"/>
  <c r="V87" i="69"/>
  <c r="V73" i="69"/>
  <c r="V65" i="69"/>
  <c r="V57" i="69"/>
  <c r="V111" i="69"/>
  <c r="V105" i="69"/>
  <c r="V93" i="69"/>
  <c r="V72" i="69"/>
  <c r="V64" i="69"/>
  <c r="V56" i="69"/>
  <c r="V101" i="69"/>
  <c r="V94" i="69"/>
  <c r="V79" i="69"/>
  <c r="V71" i="69"/>
  <c r="V63" i="69"/>
  <c r="V55" i="69"/>
  <c r="V85" i="69"/>
  <c r="V83" i="69"/>
  <c r="V82" i="69"/>
  <c r="V78" i="69"/>
  <c r="V62" i="69"/>
  <c r="V54" i="69"/>
  <c r="V89" i="69"/>
  <c r="V88" i="69"/>
  <c r="V81" i="69"/>
  <c r="V77" i="69"/>
  <c r="T68" i="69"/>
  <c r="V68" i="69" s="1"/>
  <c r="V61" i="69"/>
  <c r="V53" i="69"/>
  <c r="V75" i="69"/>
  <c r="V52" i="69"/>
  <c r="V80" i="69"/>
  <c r="V76" i="69"/>
  <c r="V59" i="69"/>
  <c r="V60" i="69"/>
  <c r="V51" i="69"/>
  <c r="V90" i="66"/>
  <c r="V78" i="66"/>
  <c r="V70" i="66"/>
  <c r="V95" i="66"/>
  <c r="V81" i="66"/>
  <c r="V77" i="66"/>
  <c r="V69" i="66"/>
  <c r="V80" i="66"/>
  <c r="V72" i="66"/>
  <c r="V93" i="66"/>
  <c r="V83" i="66"/>
  <c r="V79" i="66"/>
  <c r="V71" i="66"/>
  <c r="V63" i="66"/>
  <c r="V86" i="66"/>
  <c r="V82" i="66"/>
  <c r="V74" i="66"/>
  <c r="V66" i="66"/>
  <c r="V62" i="66"/>
  <c r="V99" i="66"/>
  <c r="V89" i="66"/>
  <c r="V85" i="66"/>
  <c r="V73" i="66"/>
  <c r="V65" i="66"/>
  <c r="V61" i="66"/>
  <c r="V67" i="66"/>
  <c r="V51" i="66"/>
  <c r="V47" i="66"/>
  <c r="V43" i="66"/>
  <c r="V35" i="66"/>
  <c r="V87" i="66"/>
  <c r="V68" i="66"/>
  <c r="V50" i="66"/>
  <c r="V42" i="66"/>
  <c r="V34" i="66"/>
  <c r="V91" i="66"/>
  <c r="V57" i="66"/>
  <c r="V49" i="66"/>
  <c r="V41" i="66"/>
  <c r="V33" i="66"/>
  <c r="V84" i="66"/>
  <c r="V75" i="66"/>
  <c r="V56" i="66"/>
  <c r="V48" i="66"/>
  <c r="V40" i="66"/>
  <c r="V32" i="66"/>
  <c r="V88" i="66"/>
  <c r="V55" i="66"/>
  <c r="V45" i="66"/>
  <c r="V39" i="66"/>
  <c r="V31" i="66"/>
  <c r="V76" i="66"/>
  <c r="V64" i="66"/>
  <c r="V54" i="66"/>
  <c r="T45" i="66"/>
  <c r="V38" i="66"/>
  <c r="V30" i="66"/>
  <c r="V58" i="66"/>
  <c r="V52" i="66"/>
  <c r="V36" i="66"/>
  <c r="Z12" i="66"/>
  <c r="V94" i="66"/>
  <c r="V59" i="66"/>
  <c r="V53" i="66"/>
  <c r="V37" i="66"/>
  <c r="V60" i="66"/>
  <c r="P40" i="64"/>
  <c r="N16" i="60"/>
  <c r="H40" i="60"/>
  <c r="D40" i="60"/>
  <c r="L16" i="60"/>
  <c r="T85" i="62"/>
  <c r="X85" i="62" s="1"/>
  <c r="Z16" i="62"/>
  <c r="X81" i="51"/>
  <c r="Z81" i="51" s="1"/>
  <c r="X18" i="47"/>
  <c r="P27" i="47"/>
  <c r="T27" i="52"/>
  <c r="Z18" i="52"/>
  <c r="H27" i="43"/>
  <c r="L27" i="43" s="1"/>
  <c r="N18" i="43"/>
  <c r="T35" i="55"/>
  <c r="T92" i="36"/>
  <c r="F76" i="39"/>
  <c r="F68" i="39"/>
  <c r="F64" i="39"/>
  <c r="F47" i="39"/>
  <c r="F44" i="39"/>
  <c r="F40" i="39"/>
  <c r="F36" i="39"/>
  <c r="F27" i="39"/>
  <c r="F82" i="39"/>
  <c r="F79" i="39"/>
  <c r="F75" i="39"/>
  <c r="F71" i="39"/>
  <c r="F67" i="39"/>
  <c r="F63" i="39"/>
  <c r="F58" i="39"/>
  <c r="F55" i="39"/>
  <c r="F39" i="39"/>
  <c r="F35" i="39"/>
  <c r="F87" i="39"/>
  <c r="F74" i="39"/>
  <c r="F66" i="39"/>
  <c r="F49" i="39"/>
  <c r="F46" i="39"/>
  <c r="F38" i="39"/>
  <c r="F34" i="39"/>
  <c r="F21" i="39"/>
  <c r="F81" i="39"/>
  <c r="F73" i="39"/>
  <c r="F60" i="39"/>
  <c r="F57" i="39"/>
  <c r="F52" i="39"/>
  <c r="F33" i="39"/>
  <c r="F28" i="39"/>
  <c r="F85" i="39"/>
  <c r="F48" i="39"/>
  <c r="F43" i="39"/>
  <c r="F32" i="39"/>
  <c r="F25" i="39"/>
  <c r="F88" i="39"/>
  <c r="F83" i="39"/>
  <c r="F78" i="39"/>
  <c r="F70" i="39"/>
  <c r="F62" i="39"/>
  <c r="F59" i="39"/>
  <c r="F54" i="39"/>
  <c r="F51" i="39"/>
  <c r="F31" i="39"/>
  <c r="D25" i="39"/>
  <c r="F23" i="39"/>
  <c r="F92" i="39"/>
  <c r="F65" i="39"/>
  <c r="F50" i="39"/>
  <c r="F86" i="39"/>
  <c r="F61" i="39"/>
  <c r="F56" i="39"/>
  <c r="F22" i="39"/>
  <c r="L12" i="39"/>
  <c r="F80" i="39"/>
  <c r="F77" i="39"/>
  <c r="F53" i="39"/>
  <c r="F41" i="39"/>
  <c r="F29" i="39"/>
  <c r="F69" i="39"/>
  <c r="F42" i="39"/>
  <c r="F72" i="39"/>
  <c r="F30" i="39"/>
  <c r="F37" i="39"/>
  <c r="F45" i="39"/>
  <c r="D75" i="45"/>
  <c r="L21" i="45"/>
  <c r="V23" i="36"/>
  <c r="H27" i="25"/>
  <c r="N18" i="25"/>
  <c r="D31" i="32"/>
  <c r="N27" i="26"/>
  <c r="H31" i="26"/>
  <c r="J90" i="27"/>
  <c r="J80" i="27"/>
  <c r="J72" i="27"/>
  <c r="J64" i="27"/>
  <c r="J58" i="27"/>
  <c r="J52" i="27"/>
  <c r="H45" i="27"/>
  <c r="J36" i="27"/>
  <c r="J30" i="27"/>
  <c r="N12" i="27"/>
  <c r="J95" i="27"/>
  <c r="J83" i="27"/>
  <c r="J77" i="27"/>
  <c r="J69" i="27"/>
  <c r="J63" i="27"/>
  <c r="J51" i="27"/>
  <c r="J43" i="27"/>
  <c r="J35" i="27"/>
  <c r="J86" i="27"/>
  <c r="J74" i="27"/>
  <c r="J66" i="27"/>
  <c r="J62" i="27"/>
  <c r="J50" i="27"/>
  <c r="J42" i="27"/>
  <c r="J34" i="27"/>
  <c r="J99" i="27"/>
  <c r="J93" i="27"/>
  <c r="J89" i="27"/>
  <c r="J85" i="27"/>
  <c r="J79" i="27"/>
  <c r="J71" i="27"/>
  <c r="J61" i="27"/>
  <c r="J57" i="27"/>
  <c r="J49" i="27"/>
  <c r="J47" i="27"/>
  <c r="J41" i="27"/>
  <c r="J33" i="27"/>
  <c r="J88" i="27"/>
  <c r="J82" i="27"/>
  <c r="J76" i="27"/>
  <c r="J68" i="27"/>
  <c r="J60" i="27"/>
  <c r="J56" i="27"/>
  <c r="J40" i="27"/>
  <c r="J32" i="27"/>
  <c r="J91" i="27"/>
  <c r="J73" i="27"/>
  <c r="J65" i="27"/>
  <c r="J59" i="27"/>
  <c r="J55" i="27"/>
  <c r="J39" i="27"/>
  <c r="J31" i="27"/>
  <c r="J94" i="27"/>
  <c r="J84" i="27"/>
  <c r="J78" i="27"/>
  <c r="J70" i="27"/>
  <c r="J54" i="27"/>
  <c r="J48" i="27"/>
  <c r="J38" i="27"/>
  <c r="J81" i="27"/>
  <c r="J87" i="27"/>
  <c r="J53" i="27"/>
  <c r="J45" i="27"/>
  <c r="J75" i="27"/>
  <c r="J37" i="27"/>
  <c r="J67" i="27"/>
  <c r="R52" i="33"/>
  <c r="R43" i="33"/>
  <c r="R40" i="33"/>
  <c r="R31" i="33"/>
  <c r="R61" i="33"/>
  <c r="R46" i="33"/>
  <c r="R30" i="33"/>
  <c r="R27" i="33"/>
  <c r="R67" i="33"/>
  <c r="R57" i="33"/>
  <c r="R49" i="33"/>
  <c r="R45" i="33"/>
  <c r="R56" i="33"/>
  <c r="R48" i="33"/>
  <c r="R36" i="33"/>
  <c r="R62" i="33"/>
  <c r="R59" i="33"/>
  <c r="R55" i="33"/>
  <c r="R51" i="33"/>
  <c r="R44" i="33"/>
  <c r="R39" i="33"/>
  <c r="R35" i="33"/>
  <c r="R28" i="33"/>
  <c r="R54" i="33"/>
  <c r="R47" i="33"/>
  <c r="R38" i="33"/>
  <c r="R34" i="33"/>
  <c r="R58" i="33"/>
  <c r="R53" i="33"/>
  <c r="R63" i="33"/>
  <c r="R37" i="33"/>
  <c r="R32" i="33"/>
  <c r="R42" i="33"/>
  <c r="R41" i="33"/>
  <c r="X12" i="33"/>
  <c r="P25" i="33"/>
  <c r="R23" i="33"/>
  <c r="R22" i="33"/>
  <c r="R21" i="33"/>
  <c r="R29" i="33"/>
  <c r="R50" i="33"/>
  <c r="R33" i="33"/>
  <c r="F201" i="18"/>
  <c r="F188" i="18"/>
  <c r="F184" i="18"/>
  <c r="F176" i="18"/>
  <c r="F160" i="18"/>
  <c r="F155" i="18"/>
  <c r="F132" i="18"/>
  <c r="F120" i="18"/>
  <c r="D114" i="18"/>
  <c r="F112" i="18"/>
  <c r="F104" i="18"/>
  <c r="F96" i="18"/>
  <c r="F88" i="18"/>
  <c r="F80" i="18"/>
  <c r="F204" i="18"/>
  <c r="F195" i="18"/>
  <c r="F191" i="18"/>
  <c r="F183" i="18"/>
  <c r="F179" i="18"/>
  <c r="F175" i="18"/>
  <c r="F171" i="18"/>
  <c r="F167" i="18"/>
  <c r="F163" i="18"/>
  <c r="F151" i="18"/>
  <c r="F142" i="18"/>
  <c r="F139" i="18"/>
  <c r="F131" i="18"/>
  <c r="F127" i="18"/>
  <c r="F119" i="18"/>
  <c r="F111" i="18"/>
  <c r="F103" i="18"/>
  <c r="F95" i="18"/>
  <c r="F87" i="18"/>
  <c r="F79" i="18"/>
  <c r="F208" i="18"/>
  <c r="F199" i="18"/>
  <c r="F194" i="18"/>
  <c r="F182" i="18"/>
  <c r="F178" i="18"/>
  <c r="F174" i="18"/>
  <c r="F170" i="18"/>
  <c r="F166" i="18"/>
  <c r="F157" i="18"/>
  <c r="F154" i="18"/>
  <c r="F145" i="18"/>
  <c r="F130" i="18"/>
  <c r="F126" i="18"/>
  <c r="F118" i="18"/>
  <c r="F110" i="18"/>
  <c r="F102" i="18"/>
  <c r="F94" i="18"/>
  <c r="F86" i="18"/>
  <c r="F202" i="18"/>
  <c r="F197" i="18"/>
  <c r="F193" i="18"/>
  <c r="F181" i="18"/>
  <c r="F173" i="18"/>
  <c r="F169" i="18"/>
  <c r="F165" i="18"/>
  <c r="F153" i="18"/>
  <c r="F148" i="18"/>
  <c r="F141" i="18"/>
  <c r="F136" i="18"/>
  <c r="F129" i="18"/>
  <c r="F125" i="18"/>
  <c r="F116" i="18"/>
  <c r="F109" i="18"/>
  <c r="F101" i="18"/>
  <c r="F93" i="18"/>
  <c r="F85" i="18"/>
  <c r="F187" i="18"/>
  <c r="F159" i="18"/>
  <c r="F156" i="18"/>
  <c r="F144" i="18"/>
  <c r="F124" i="18"/>
  <c r="F108" i="18"/>
  <c r="F100" i="18"/>
  <c r="F92" i="18"/>
  <c r="F84" i="18"/>
  <c r="L12" i="18"/>
  <c r="N12" i="18" s="1"/>
  <c r="F200" i="18"/>
  <c r="F190" i="18"/>
  <c r="F162" i="18"/>
  <c r="F150" i="18"/>
  <c r="F147" i="18"/>
  <c r="F143" i="18"/>
  <c r="F138" i="18"/>
  <c r="F135" i="18"/>
  <c r="F123" i="18"/>
  <c r="F107" i="18"/>
  <c r="F99" i="18"/>
  <c r="F91" i="18"/>
  <c r="F83" i="18"/>
  <c r="F78" i="18"/>
  <c r="F203" i="18"/>
  <c r="F186" i="18"/>
  <c r="F177" i="18"/>
  <c r="F158" i="18"/>
  <c r="F146" i="18"/>
  <c r="F134" i="18"/>
  <c r="F122" i="18"/>
  <c r="F117" i="18"/>
  <c r="F106" i="18"/>
  <c r="F98" i="18"/>
  <c r="F90" i="18"/>
  <c r="F82" i="18"/>
  <c r="F189" i="18"/>
  <c r="F97" i="18"/>
  <c r="F172" i="18"/>
  <c r="F164" i="18"/>
  <c r="F152" i="18"/>
  <c r="F105" i="18"/>
  <c r="F161" i="18"/>
  <c r="F121" i="18"/>
  <c r="F196" i="18"/>
  <c r="F185" i="18"/>
  <c r="F180" i="18"/>
  <c r="F149" i="18"/>
  <c r="F114" i="18"/>
  <c r="F168" i="18"/>
  <c r="F81" i="18"/>
  <c r="F140" i="18"/>
  <c r="F133" i="18"/>
  <c r="F89" i="18"/>
  <c r="F128" i="18"/>
  <c r="F192" i="18"/>
  <c r="F137" i="18"/>
  <c r="V182" i="15"/>
  <c r="V168" i="15"/>
  <c r="V164" i="15"/>
  <c r="V156" i="15"/>
  <c r="V140" i="15"/>
  <c r="V128" i="15"/>
  <c r="V116" i="15"/>
  <c r="V112" i="15"/>
  <c r="V175" i="15"/>
  <c r="V171" i="15"/>
  <c r="V167" i="15"/>
  <c r="V163" i="15"/>
  <c r="V159" i="15"/>
  <c r="V155" i="15"/>
  <c r="V151" i="15"/>
  <c r="V147" i="15"/>
  <c r="V143" i="15"/>
  <c r="V139" i="15"/>
  <c r="V131" i="15"/>
  <c r="V119" i="15"/>
  <c r="V111" i="15"/>
  <c r="V107" i="15"/>
  <c r="V180" i="15"/>
  <c r="V174" i="15"/>
  <c r="V170" i="15"/>
  <c r="V162" i="15"/>
  <c r="V158" i="15"/>
  <c r="V154" i="15"/>
  <c r="V150" i="15"/>
  <c r="V146" i="15"/>
  <c r="V142" i="15"/>
  <c r="V134" i="15"/>
  <c r="V130" i="15"/>
  <c r="V118" i="15"/>
  <c r="V177" i="15"/>
  <c r="V173" i="15"/>
  <c r="V161" i="15"/>
  <c r="V157" i="15"/>
  <c r="V153" i="15"/>
  <c r="V149" i="15"/>
  <c r="V145" i="15"/>
  <c r="V133" i="15"/>
  <c r="V121" i="15"/>
  <c r="V186" i="15"/>
  <c r="V176" i="15"/>
  <c r="V172" i="15"/>
  <c r="V160" i="15"/>
  <c r="V152" i="15"/>
  <c r="V148" i="15"/>
  <c r="V144" i="15"/>
  <c r="V136" i="15"/>
  <c r="V132" i="15"/>
  <c r="V124" i="15"/>
  <c r="V120" i="15"/>
  <c r="V181" i="15"/>
  <c r="V135" i="15"/>
  <c r="V127" i="15"/>
  <c r="V123" i="15"/>
  <c r="V115" i="15"/>
  <c r="V166" i="15"/>
  <c r="V138" i="15"/>
  <c r="V126" i="15"/>
  <c r="V122" i="15"/>
  <c r="V125" i="15"/>
  <c r="V101" i="15"/>
  <c r="V85" i="15"/>
  <c r="V77" i="15"/>
  <c r="V69" i="15"/>
  <c r="V165" i="15"/>
  <c r="V141" i="15"/>
  <c r="V108" i="15"/>
  <c r="V100" i="15"/>
  <c r="V96" i="15"/>
  <c r="V92" i="15"/>
  <c r="V84" i="15"/>
  <c r="V76" i="15"/>
  <c r="V68" i="15"/>
  <c r="V129" i="15"/>
  <c r="V117" i="15"/>
  <c r="V110" i="15"/>
  <c r="V109" i="15"/>
  <c r="V99" i="15"/>
  <c r="V91" i="15"/>
  <c r="V83" i="15"/>
  <c r="V75" i="15"/>
  <c r="V67" i="15"/>
  <c r="V179" i="15"/>
  <c r="V98" i="15"/>
  <c r="V90" i="15"/>
  <c r="V82" i="15"/>
  <c r="V74" i="15"/>
  <c r="V66" i="15"/>
  <c r="V106" i="15"/>
  <c r="V105" i="15"/>
  <c r="V97" i="15"/>
  <c r="V89" i="15"/>
  <c r="V81" i="15"/>
  <c r="V73" i="15"/>
  <c r="V65" i="15"/>
  <c r="V169" i="15"/>
  <c r="V104" i="15"/>
  <c r="V88" i="15"/>
  <c r="V80" i="15"/>
  <c r="V72" i="15"/>
  <c r="V64" i="15"/>
  <c r="V113" i="15"/>
  <c r="V103" i="15"/>
  <c r="T94" i="15"/>
  <c r="V94" i="15" s="1"/>
  <c r="V87" i="15"/>
  <c r="V79" i="15"/>
  <c r="V71" i="15"/>
  <c r="V78" i="15"/>
  <c r="V114" i="15"/>
  <c r="V137" i="15"/>
  <c r="V102" i="15"/>
  <c r="V70" i="15"/>
  <c r="V86" i="15"/>
  <c r="D61" i="21"/>
  <c r="R169" i="15"/>
  <c r="R165" i="15"/>
  <c r="R141" i="15"/>
  <c r="R129" i="15"/>
  <c r="R122" i="15"/>
  <c r="R117" i="15"/>
  <c r="R113" i="15"/>
  <c r="R179" i="15"/>
  <c r="R168" i="15"/>
  <c r="R164" i="15"/>
  <c r="R156" i="15"/>
  <c r="R140" i="15"/>
  <c r="R137" i="15"/>
  <c r="R125" i="15"/>
  <c r="R112" i="15"/>
  <c r="R182" i="15"/>
  <c r="R175" i="15"/>
  <c r="R171" i="15"/>
  <c r="R163" i="15"/>
  <c r="R159" i="15"/>
  <c r="R155" i="15"/>
  <c r="R151" i="15"/>
  <c r="R147" i="15"/>
  <c r="R143" i="15"/>
  <c r="R131" i="15"/>
  <c r="R128" i="15"/>
  <c r="R119" i="15"/>
  <c r="R116" i="15"/>
  <c r="R174" i="15"/>
  <c r="R167" i="15"/>
  <c r="R162" i="15"/>
  <c r="R158" i="15"/>
  <c r="R154" i="15"/>
  <c r="R150" i="15"/>
  <c r="R146" i="15"/>
  <c r="R139" i="15"/>
  <c r="R134" i="15"/>
  <c r="R180" i="15"/>
  <c r="R177" i="15"/>
  <c r="R173" i="15"/>
  <c r="R170" i="15"/>
  <c r="R161" i="15"/>
  <c r="R153" i="15"/>
  <c r="R149" i="15"/>
  <c r="R145" i="15"/>
  <c r="R142" i="15"/>
  <c r="R133" i="15"/>
  <c r="R130" i="15"/>
  <c r="R121" i="15"/>
  <c r="R118" i="15"/>
  <c r="R186" i="15"/>
  <c r="R157" i="15"/>
  <c r="R136" i="15"/>
  <c r="R124" i="15"/>
  <c r="R176" i="15"/>
  <c r="R172" i="15"/>
  <c r="R160" i="15"/>
  <c r="R152" i="15"/>
  <c r="R148" i="15"/>
  <c r="R144" i="15"/>
  <c r="R132" i="15"/>
  <c r="R127" i="15"/>
  <c r="R123" i="15"/>
  <c r="R120" i="15"/>
  <c r="R115" i="15"/>
  <c r="R114" i="15"/>
  <c r="R102" i="15"/>
  <c r="P94" i="15"/>
  <c r="R86" i="15"/>
  <c r="R78" i="15"/>
  <c r="R70" i="15"/>
  <c r="R101" i="15"/>
  <c r="R85" i="15"/>
  <c r="R77" i="15"/>
  <c r="R69" i="15"/>
  <c r="R138" i="15"/>
  <c r="R135" i="15"/>
  <c r="R126" i="15"/>
  <c r="R100" i="15"/>
  <c r="R92" i="15"/>
  <c r="R84" i="15"/>
  <c r="R76" i="15"/>
  <c r="R68" i="15"/>
  <c r="X12" i="15"/>
  <c r="Z12" i="15" s="1"/>
  <c r="R111" i="15"/>
  <c r="R110" i="15"/>
  <c r="R109" i="15"/>
  <c r="R108" i="15"/>
  <c r="R99" i="15"/>
  <c r="R96" i="15"/>
  <c r="R91" i="15"/>
  <c r="R83" i="15"/>
  <c r="R75" i="15"/>
  <c r="R67" i="15"/>
  <c r="R107" i="15"/>
  <c r="R98" i="15"/>
  <c r="R90" i="15"/>
  <c r="R82" i="15"/>
  <c r="R74" i="15"/>
  <c r="R66" i="15"/>
  <c r="R166" i="15"/>
  <c r="R106" i="15"/>
  <c r="R105" i="15"/>
  <c r="R89" i="15"/>
  <c r="R81" i="15"/>
  <c r="R73" i="15"/>
  <c r="R65" i="15"/>
  <c r="R104" i="15"/>
  <c r="R97" i="15"/>
  <c r="R88" i="15"/>
  <c r="R80" i="15"/>
  <c r="R72" i="15"/>
  <c r="R71" i="15"/>
  <c r="R87" i="15"/>
  <c r="R79" i="15"/>
  <c r="R181" i="15"/>
  <c r="R64" i="15"/>
  <c r="R103" i="15"/>
  <c r="P31" i="20"/>
  <c r="P31" i="16"/>
  <c r="T36" i="17"/>
  <c r="Z36" i="17" s="1"/>
  <c r="Z31" i="17"/>
  <c r="L18" i="14"/>
  <c r="D27" i="14"/>
  <c r="X212" i="3"/>
  <c r="Z212" i="3" s="1"/>
  <c r="H221" i="3"/>
  <c r="V212" i="3"/>
  <c r="H28" i="87"/>
  <c r="N16" i="87"/>
  <c r="X40" i="60"/>
  <c r="P44" i="60"/>
  <c r="Z16" i="60"/>
  <c r="T40" i="60"/>
  <c r="T82" i="45"/>
  <c r="P36" i="35"/>
  <c r="F128" i="30"/>
  <c r="F115" i="30"/>
  <c r="F106" i="30"/>
  <c r="F103" i="30"/>
  <c r="F94" i="30"/>
  <c r="F91" i="30"/>
  <c r="F86" i="30"/>
  <c r="F75" i="30"/>
  <c r="F59" i="30"/>
  <c r="F51" i="30"/>
  <c r="F132" i="30"/>
  <c r="F122" i="30"/>
  <c r="F109" i="30"/>
  <c r="F102" i="30"/>
  <c r="F74" i="30"/>
  <c r="D68" i="30"/>
  <c r="F66" i="30"/>
  <c r="F58" i="30"/>
  <c r="F126" i="30"/>
  <c r="F112" i="30"/>
  <c r="F105" i="30"/>
  <c r="F96" i="30"/>
  <c r="F93" i="30"/>
  <c r="F88" i="30"/>
  <c r="F85" i="30"/>
  <c r="F80" i="30"/>
  <c r="F73" i="30"/>
  <c r="F65" i="30"/>
  <c r="F57" i="30"/>
  <c r="F124" i="30"/>
  <c r="F119" i="30"/>
  <c r="F108" i="30"/>
  <c r="F99" i="30"/>
  <c r="F84" i="30"/>
  <c r="F72" i="30"/>
  <c r="F64" i="30"/>
  <c r="F56" i="30"/>
  <c r="F114" i="30"/>
  <c r="F111" i="30"/>
  <c r="F107" i="30"/>
  <c r="F95" i="30"/>
  <c r="F90" i="30"/>
  <c r="F87" i="30"/>
  <c r="F83" i="30"/>
  <c r="F79" i="30"/>
  <c r="F70" i="30"/>
  <c r="F63" i="30"/>
  <c r="F55" i="30"/>
  <c r="F50" i="30"/>
  <c r="F127" i="30"/>
  <c r="F121" i="30"/>
  <c r="F118" i="30"/>
  <c r="F110" i="30"/>
  <c r="F101" i="30"/>
  <c r="F98" i="30"/>
  <c r="F82" i="30"/>
  <c r="F78" i="30"/>
  <c r="F62" i="30"/>
  <c r="F54" i="30"/>
  <c r="F117" i="30"/>
  <c r="F113" i="30"/>
  <c r="F104" i="30"/>
  <c r="F97" i="30"/>
  <c r="F92" i="30"/>
  <c r="F89" i="30"/>
  <c r="F81" i="30"/>
  <c r="F77" i="30"/>
  <c r="F61" i="30"/>
  <c r="F53" i="30"/>
  <c r="F120" i="30"/>
  <c r="L12" i="30"/>
  <c r="F60" i="30"/>
  <c r="F116" i="30"/>
  <c r="F100" i="30"/>
  <c r="F76" i="30"/>
  <c r="F71" i="30"/>
  <c r="F123" i="30"/>
  <c r="F52" i="30"/>
  <c r="V68" i="21"/>
  <c r="V63" i="21"/>
  <c r="V61" i="21"/>
  <c r="V57" i="21"/>
  <c r="V65" i="21"/>
  <c r="V59" i="21"/>
  <c r="V56" i="21"/>
  <c r="V44" i="21"/>
  <c r="V36" i="21"/>
  <c r="V28" i="21"/>
  <c r="Z12" i="21"/>
  <c r="V47" i="21"/>
  <c r="V39" i="21"/>
  <c r="V35" i="21"/>
  <c r="V27" i="21"/>
  <c r="V23" i="21"/>
  <c r="V19" i="21"/>
  <c r="V50" i="21"/>
  <c r="V46" i="21"/>
  <c r="V38" i="21"/>
  <c r="V26" i="21"/>
  <c r="V18" i="21"/>
  <c r="V53" i="21"/>
  <c r="V49" i="21"/>
  <c r="V41" i="21"/>
  <c r="V37" i="21"/>
  <c r="V25" i="21"/>
  <c r="V52" i="21"/>
  <c r="V48" i="21"/>
  <c r="V40" i="21"/>
  <c r="V32" i="21"/>
  <c r="V24" i="21"/>
  <c r="V55" i="21"/>
  <c r="V51" i="21"/>
  <c r="V43" i="21"/>
  <c r="V31" i="21"/>
  <c r="V21" i="21"/>
  <c r="V54" i="21"/>
  <c r="V42" i="21"/>
  <c r="V34" i="21"/>
  <c r="V30" i="21"/>
  <c r="T21" i="21"/>
  <c r="V29" i="21"/>
  <c r="V33" i="21"/>
  <c r="V45" i="21"/>
  <c r="H27" i="8"/>
  <c r="L27" i="8" s="1"/>
  <c r="N18" i="8"/>
  <c r="N27" i="96"/>
  <c r="H31" i="96"/>
  <c r="H55" i="93"/>
  <c r="Z47" i="95"/>
  <c r="P31" i="98"/>
  <c r="X27" i="98"/>
  <c r="D31" i="98"/>
  <c r="H50" i="95"/>
  <c r="P50" i="95"/>
  <c r="X17" i="95"/>
  <c r="J69" i="92"/>
  <c r="J74" i="92"/>
  <c r="J71" i="92"/>
  <c r="J63" i="92"/>
  <c r="J46" i="92"/>
  <c r="J38" i="92"/>
  <c r="J26" i="92"/>
  <c r="J18" i="92"/>
  <c r="J51" i="92"/>
  <c r="J43" i="92"/>
  <c r="J37" i="92"/>
  <c r="J33" i="92"/>
  <c r="J25" i="92"/>
  <c r="J23" i="92"/>
  <c r="J62" i="92"/>
  <c r="J58" i="92"/>
  <c r="J54" i="92"/>
  <c r="J48" i="92"/>
  <c r="J40" i="92"/>
  <c r="J36" i="92"/>
  <c r="J32" i="92"/>
  <c r="J45" i="92"/>
  <c r="J35" i="92"/>
  <c r="J31" i="92"/>
  <c r="J17" i="92"/>
  <c r="J50" i="92"/>
  <c r="J42" i="92"/>
  <c r="J30" i="92"/>
  <c r="J24" i="92"/>
  <c r="J61" i="92"/>
  <c r="J57" i="92"/>
  <c r="J53" i="92"/>
  <c r="J47" i="92"/>
  <c r="J39" i="92"/>
  <c r="J29" i="92"/>
  <c r="J21" i="92"/>
  <c r="J67" i="92"/>
  <c r="J60" i="92"/>
  <c r="J56" i="92"/>
  <c r="J52" i="92"/>
  <c r="J44" i="92"/>
  <c r="J34" i="92"/>
  <c r="J28" i="92"/>
  <c r="H21" i="92"/>
  <c r="N12" i="92"/>
  <c r="J65" i="92"/>
  <c r="J55" i="92"/>
  <c r="J59" i="92"/>
  <c r="J19" i="92"/>
  <c r="J49" i="92"/>
  <c r="J41" i="92"/>
  <c r="J27" i="92"/>
  <c r="F59" i="92"/>
  <c r="F55" i="92"/>
  <c r="F34" i="92"/>
  <c r="F27" i="92"/>
  <c r="D21" i="92"/>
  <c r="F19" i="92"/>
  <c r="F69" i="92"/>
  <c r="F65" i="92"/>
  <c r="F63" i="92"/>
  <c r="F49" i="92"/>
  <c r="F46" i="92"/>
  <c r="F41" i="92"/>
  <c r="F38" i="92"/>
  <c r="F26" i="92"/>
  <c r="F18" i="92"/>
  <c r="F37" i="92"/>
  <c r="F33" i="92"/>
  <c r="F25" i="92"/>
  <c r="F51" i="92"/>
  <c r="F48" i="92"/>
  <c r="F43" i="92"/>
  <c r="F40" i="92"/>
  <c r="F36" i="92"/>
  <c r="F32" i="92"/>
  <c r="F23" i="92"/>
  <c r="F62" i="92"/>
  <c r="F58" i="92"/>
  <c r="F54" i="92"/>
  <c r="F35" i="92"/>
  <c r="F31" i="92"/>
  <c r="F50" i="92"/>
  <c r="F45" i="92"/>
  <c r="F42" i="92"/>
  <c r="F30" i="92"/>
  <c r="F17" i="92"/>
  <c r="F61" i="92"/>
  <c r="F57" i="92"/>
  <c r="F53" i="92"/>
  <c r="F29" i="92"/>
  <c r="F24" i="92"/>
  <c r="F52" i="92"/>
  <c r="F28" i="92"/>
  <c r="F47" i="92"/>
  <c r="F60" i="92"/>
  <c r="F56" i="92"/>
  <c r="F44" i="92"/>
  <c r="F39" i="92"/>
  <c r="F21" i="92"/>
  <c r="L12" i="92"/>
  <c r="P48" i="89"/>
  <c r="X45" i="89"/>
  <c r="Z17" i="74"/>
  <c r="T37" i="74"/>
  <c r="H34" i="81"/>
  <c r="J23" i="75"/>
  <c r="V59" i="70"/>
  <c r="V41" i="70"/>
  <c r="V29" i="70"/>
  <c r="V25" i="70"/>
  <c r="V21" i="70"/>
  <c r="V44" i="70"/>
  <c r="V40" i="70"/>
  <c r="V28" i="70"/>
  <c r="V55" i="70"/>
  <c r="V47" i="70"/>
  <c r="V43" i="70"/>
  <c r="V27" i="70"/>
  <c r="V60" i="70"/>
  <c r="V54" i="70"/>
  <c r="V46" i="70"/>
  <c r="V42" i="70"/>
  <c r="V34" i="70"/>
  <c r="V26" i="70"/>
  <c r="V57" i="70"/>
  <c r="V53" i="70"/>
  <c r="V49" i="70"/>
  <c r="V45" i="70"/>
  <c r="V37" i="70"/>
  <c r="V33" i="70"/>
  <c r="V56" i="70"/>
  <c r="V52" i="70"/>
  <c r="V48" i="70"/>
  <c r="V36" i="70"/>
  <c r="V32" i="70"/>
  <c r="T23" i="70"/>
  <c r="V23" i="70" s="1"/>
  <c r="V50" i="70"/>
  <c r="V30" i="70"/>
  <c r="V38" i="70"/>
  <c r="V51" i="70"/>
  <c r="V35" i="70"/>
  <c r="V31" i="70"/>
  <c r="V64" i="70"/>
  <c r="V39" i="70"/>
  <c r="V81" i="71"/>
  <c r="V71" i="71"/>
  <c r="V67" i="71"/>
  <c r="V59" i="71"/>
  <c r="V55" i="71"/>
  <c r="V47" i="71"/>
  <c r="V39" i="71"/>
  <c r="V84" i="71"/>
  <c r="V70" i="71"/>
  <c r="V62" i="71"/>
  <c r="V58" i="71"/>
  <c r="V54" i="71"/>
  <c r="V44" i="71"/>
  <c r="V38" i="71"/>
  <c r="V77" i="71"/>
  <c r="V73" i="71"/>
  <c r="V61" i="71"/>
  <c r="V57" i="71"/>
  <c r="V53" i="71"/>
  <c r="T44" i="71"/>
  <c r="V37" i="71"/>
  <c r="V82" i="71"/>
  <c r="V76" i="71"/>
  <c r="V72" i="71"/>
  <c r="V64" i="71"/>
  <c r="V52" i="71"/>
  <c r="V36" i="71"/>
  <c r="Z12" i="71"/>
  <c r="V79" i="71"/>
  <c r="V75" i="71"/>
  <c r="V63" i="71"/>
  <c r="V51" i="71"/>
  <c r="V35" i="71"/>
  <c r="V88" i="71"/>
  <c r="V78" i="71"/>
  <c r="V74" i="71"/>
  <c r="V66" i="71"/>
  <c r="V50" i="71"/>
  <c r="V46" i="71"/>
  <c r="V42" i="71"/>
  <c r="V34" i="71"/>
  <c r="V69" i="71"/>
  <c r="V60" i="71"/>
  <c r="V48" i="71"/>
  <c r="V40" i="71"/>
  <c r="V83" i="71"/>
  <c r="V49" i="71"/>
  <c r="V41" i="71"/>
  <c r="V68" i="71"/>
  <c r="V32" i="71"/>
  <c r="V65" i="71"/>
  <c r="V56" i="71"/>
  <c r="V33" i="71"/>
  <c r="P29" i="75"/>
  <c r="P44" i="74"/>
  <c r="Z110" i="69"/>
  <c r="T36" i="64"/>
  <c r="X36" i="64" s="1"/>
  <c r="H35" i="65"/>
  <c r="X17" i="64"/>
  <c r="Z17" i="64" s="1"/>
  <c r="D44" i="61"/>
  <c r="L40" i="61"/>
  <c r="N40" i="61" s="1"/>
  <c r="P57" i="56"/>
  <c r="X53" i="56"/>
  <c r="Z53" i="56" s="1"/>
  <c r="V52" i="48"/>
  <c r="V38" i="48"/>
  <c r="V22" i="48"/>
  <c r="V47" i="48"/>
  <c r="V41" i="48"/>
  <c r="V33" i="48"/>
  <c r="V21" i="48"/>
  <c r="V40" i="48"/>
  <c r="V32" i="48"/>
  <c r="V28" i="48"/>
  <c r="V20" i="48"/>
  <c r="V43" i="48"/>
  <c r="V35" i="48"/>
  <c r="V31" i="48"/>
  <c r="V27" i="48"/>
  <c r="X12" i="48"/>
  <c r="Z12" i="48" s="1"/>
  <c r="V48" i="48"/>
  <c r="V42" i="48"/>
  <c r="V34" i="48"/>
  <c r="V30" i="48"/>
  <c r="V26" i="48"/>
  <c r="T17" i="48"/>
  <c r="V45" i="48"/>
  <c r="V37" i="48"/>
  <c r="V29" i="48"/>
  <c r="V25" i="48"/>
  <c r="V44" i="48"/>
  <c r="V36" i="48"/>
  <c r="V24" i="48"/>
  <c r="V15" i="48"/>
  <c r="V39" i="48"/>
  <c r="V23" i="48"/>
  <c r="V19" i="48"/>
  <c r="V81" i="42"/>
  <c r="T86" i="42"/>
  <c r="X82" i="62"/>
  <c r="Z82" i="62" s="1"/>
  <c r="J79" i="51"/>
  <c r="J75" i="51"/>
  <c r="J61" i="51"/>
  <c r="J57" i="51"/>
  <c r="J51" i="51"/>
  <c r="H44" i="51"/>
  <c r="J35" i="51"/>
  <c r="J88" i="51"/>
  <c r="J82" i="51"/>
  <c r="J72" i="51"/>
  <c r="J66" i="51"/>
  <c r="J50" i="51"/>
  <c r="J42" i="51"/>
  <c r="J34" i="51"/>
  <c r="J69" i="51"/>
  <c r="J63" i="51"/>
  <c r="J49" i="51"/>
  <c r="J41" i="51"/>
  <c r="J33" i="51"/>
  <c r="J78" i="51"/>
  <c r="J74" i="51"/>
  <c r="J68" i="51"/>
  <c r="J60" i="51"/>
  <c r="J56" i="51"/>
  <c r="J48" i="51"/>
  <c r="J46" i="51"/>
  <c r="J40" i="51"/>
  <c r="J83" i="51"/>
  <c r="J71" i="51"/>
  <c r="J65" i="51"/>
  <c r="J59" i="51"/>
  <c r="J55" i="51"/>
  <c r="J39" i="51"/>
  <c r="J62" i="51"/>
  <c r="J58" i="51"/>
  <c r="J54" i="51"/>
  <c r="J38" i="51"/>
  <c r="J32" i="51"/>
  <c r="J81" i="51"/>
  <c r="J77" i="51"/>
  <c r="J73" i="51"/>
  <c r="J67" i="51"/>
  <c r="J53" i="51"/>
  <c r="J47" i="51"/>
  <c r="J37" i="51"/>
  <c r="J76" i="51"/>
  <c r="J84" i="51"/>
  <c r="J36" i="51"/>
  <c r="J70" i="51"/>
  <c r="J52" i="51"/>
  <c r="J64" i="51"/>
  <c r="P26" i="54"/>
  <c r="X22" i="54"/>
  <c r="P27" i="49"/>
  <c r="X18" i="49"/>
  <c r="D31" i="47"/>
  <c r="T27" i="44"/>
  <c r="X27" i="44" s="1"/>
  <c r="Z18" i="44"/>
  <c r="T45" i="89"/>
  <c r="Z41" i="89"/>
  <c r="Z18" i="40"/>
  <c r="T27" i="40"/>
  <c r="X61" i="33"/>
  <c r="Z61" i="33" s="1"/>
  <c r="H27" i="38"/>
  <c r="N18" i="38"/>
  <c r="X27" i="43"/>
  <c r="P31" i="43"/>
  <c r="R81" i="36"/>
  <c r="R77" i="36"/>
  <c r="R73" i="36"/>
  <c r="R69" i="36"/>
  <c r="R65" i="36"/>
  <c r="R45" i="36"/>
  <c r="R42" i="36"/>
  <c r="R37" i="36"/>
  <c r="R33" i="36"/>
  <c r="R26" i="36"/>
  <c r="R87" i="36"/>
  <c r="R76" i="36"/>
  <c r="R68" i="36"/>
  <c r="R64" i="36"/>
  <c r="R61" i="36"/>
  <c r="R56" i="36"/>
  <c r="R53" i="36"/>
  <c r="R32" i="36"/>
  <c r="R90" i="36"/>
  <c r="R83" i="36"/>
  <c r="R80" i="36"/>
  <c r="R75" i="36"/>
  <c r="R72" i="36"/>
  <c r="R47" i="36"/>
  <c r="R44" i="36"/>
  <c r="R36" i="36"/>
  <c r="R31" i="36"/>
  <c r="P23" i="36"/>
  <c r="R67" i="36"/>
  <c r="R63" i="36"/>
  <c r="R58" i="36"/>
  <c r="R55" i="36"/>
  <c r="R50" i="36"/>
  <c r="R30" i="36"/>
  <c r="R88" i="36"/>
  <c r="R85" i="36"/>
  <c r="R82" i="36"/>
  <c r="R74" i="36"/>
  <c r="R49" i="36"/>
  <c r="R46" i="36"/>
  <c r="R41" i="36"/>
  <c r="R29" i="36"/>
  <c r="R21" i="36"/>
  <c r="R94" i="36"/>
  <c r="R60" i="36"/>
  <c r="R57" i="36"/>
  <c r="R52" i="36"/>
  <c r="R40" i="36"/>
  <c r="R28" i="36"/>
  <c r="R25" i="36"/>
  <c r="R20" i="36"/>
  <c r="X12" i="36"/>
  <c r="Z12" i="36" s="1"/>
  <c r="R84" i="36"/>
  <c r="R79" i="36"/>
  <c r="R71" i="36"/>
  <c r="R48" i="36"/>
  <c r="R43" i="36"/>
  <c r="R39" i="36"/>
  <c r="R35" i="36"/>
  <c r="R27" i="36"/>
  <c r="R89" i="36"/>
  <c r="R78" i="36"/>
  <c r="R70" i="36"/>
  <c r="R66" i="36"/>
  <c r="R62" i="36"/>
  <c r="R59" i="36"/>
  <c r="R54" i="36"/>
  <c r="R51" i="36"/>
  <c r="R38" i="36"/>
  <c r="R34" i="36"/>
  <c r="R19" i="36"/>
  <c r="T27" i="26"/>
  <c r="Z18" i="26"/>
  <c r="X18" i="28"/>
  <c r="P27" i="28"/>
  <c r="X18" i="22"/>
  <c r="P27" i="22"/>
  <c r="R99" i="27"/>
  <c r="R89" i="27"/>
  <c r="R85" i="27"/>
  <c r="R82" i="27"/>
  <c r="R61" i="27"/>
  <c r="R57" i="27"/>
  <c r="R49" i="27"/>
  <c r="R41" i="27"/>
  <c r="R33" i="27"/>
  <c r="R88" i="27"/>
  <c r="R76" i="27"/>
  <c r="R73" i="27"/>
  <c r="R68" i="27"/>
  <c r="R65" i="27"/>
  <c r="R60" i="27"/>
  <c r="R56" i="27"/>
  <c r="R40" i="27"/>
  <c r="R32" i="27"/>
  <c r="R94" i="27"/>
  <c r="R91" i="27"/>
  <c r="R84" i="27"/>
  <c r="R59" i="27"/>
  <c r="R55" i="27"/>
  <c r="R48" i="27"/>
  <c r="R39" i="27"/>
  <c r="R31" i="27"/>
  <c r="R87" i="27"/>
  <c r="R78" i="27"/>
  <c r="R75" i="27"/>
  <c r="R70" i="27"/>
  <c r="R67" i="27"/>
  <c r="R54" i="27"/>
  <c r="R38" i="27"/>
  <c r="R90" i="27"/>
  <c r="R81" i="27"/>
  <c r="R58" i="27"/>
  <c r="R53" i="27"/>
  <c r="P45" i="27"/>
  <c r="R45" i="27" s="1"/>
  <c r="R37" i="27"/>
  <c r="R30" i="27"/>
  <c r="R95" i="27"/>
  <c r="R80" i="27"/>
  <c r="R77" i="27"/>
  <c r="R72" i="27"/>
  <c r="R69" i="27"/>
  <c r="R64" i="27"/>
  <c r="R52" i="27"/>
  <c r="R36" i="27"/>
  <c r="X12" i="27"/>
  <c r="R83" i="27"/>
  <c r="R63" i="27"/>
  <c r="R51" i="27"/>
  <c r="R43" i="27"/>
  <c r="R35" i="27"/>
  <c r="R86" i="27"/>
  <c r="R74" i="27"/>
  <c r="R71" i="27"/>
  <c r="R66" i="27"/>
  <c r="R93" i="27"/>
  <c r="R42" i="27"/>
  <c r="R79" i="27"/>
  <c r="R47" i="27"/>
  <c r="R62" i="27"/>
  <c r="R50" i="27"/>
  <c r="R34" i="27"/>
  <c r="V46" i="33"/>
  <c r="V42" i="33"/>
  <c r="V30" i="33"/>
  <c r="V67" i="33"/>
  <c r="V57" i="33"/>
  <c r="V49" i="33"/>
  <c r="V45" i="33"/>
  <c r="V29" i="33"/>
  <c r="V62" i="33"/>
  <c r="V56" i="33"/>
  <c r="V48" i="33"/>
  <c r="V59" i="33"/>
  <c r="V55" i="33"/>
  <c r="V51" i="33"/>
  <c r="V47" i="33"/>
  <c r="V39" i="33"/>
  <c r="V35" i="33"/>
  <c r="V58" i="33"/>
  <c r="V54" i="33"/>
  <c r="V50" i="33"/>
  <c r="V38" i="33"/>
  <c r="V34" i="33"/>
  <c r="T25" i="33"/>
  <c r="V63" i="33"/>
  <c r="V53" i="33"/>
  <c r="V41" i="33"/>
  <c r="V37" i="33"/>
  <c r="V33" i="33"/>
  <c r="V61" i="33"/>
  <c r="V43" i="33"/>
  <c r="V31" i="33"/>
  <c r="V27" i="33"/>
  <c r="V28" i="33"/>
  <c r="V25" i="33"/>
  <c r="V23" i="33"/>
  <c r="V22" i="33"/>
  <c r="V21" i="33"/>
  <c r="V44" i="33"/>
  <c r="V32" i="33"/>
  <c r="V52" i="33"/>
  <c r="V40" i="33"/>
  <c r="V36" i="33"/>
  <c r="Z12" i="33"/>
  <c r="L18" i="31"/>
  <c r="D27" i="31"/>
  <c r="P27" i="26"/>
  <c r="X18" i="26"/>
  <c r="V201" i="18"/>
  <c r="V155" i="18"/>
  <c r="V147" i="18"/>
  <c r="V143" i="18"/>
  <c r="V135" i="18"/>
  <c r="V123" i="18"/>
  <c r="T114" i="18"/>
  <c r="V107" i="18"/>
  <c r="V99" i="18"/>
  <c r="V91" i="18"/>
  <c r="V83" i="18"/>
  <c r="V204" i="18"/>
  <c r="V186" i="18"/>
  <c r="V158" i="18"/>
  <c r="V146" i="18"/>
  <c r="V142" i="18"/>
  <c r="V134" i="18"/>
  <c r="V122" i="18"/>
  <c r="V106" i="18"/>
  <c r="V98" i="18"/>
  <c r="V90" i="18"/>
  <c r="V82" i="18"/>
  <c r="V199" i="18"/>
  <c r="V189" i="18"/>
  <c r="V185" i="18"/>
  <c r="V161" i="18"/>
  <c r="V157" i="18"/>
  <c r="V149" i="18"/>
  <c r="V145" i="18"/>
  <c r="V137" i="18"/>
  <c r="V133" i="18"/>
  <c r="V121" i="18"/>
  <c r="V105" i="18"/>
  <c r="V97" i="18"/>
  <c r="V89" i="18"/>
  <c r="V81" i="18"/>
  <c r="V202" i="18"/>
  <c r="V188" i="18"/>
  <c r="V184" i="18"/>
  <c r="V176" i="18"/>
  <c r="V160" i="18"/>
  <c r="V148" i="18"/>
  <c r="V136" i="18"/>
  <c r="V132" i="18"/>
  <c r="V120" i="18"/>
  <c r="V116" i="18"/>
  <c r="V112" i="18"/>
  <c r="V104" i="18"/>
  <c r="V96" i="18"/>
  <c r="V88" i="18"/>
  <c r="V80" i="18"/>
  <c r="V195" i="18"/>
  <c r="V191" i="18"/>
  <c r="V187" i="18"/>
  <c r="V183" i="18"/>
  <c r="V179" i="18"/>
  <c r="V175" i="18"/>
  <c r="V171" i="18"/>
  <c r="V167" i="18"/>
  <c r="V163" i="18"/>
  <c r="V159" i="18"/>
  <c r="V151" i="18"/>
  <c r="V139" i="18"/>
  <c r="V131" i="18"/>
  <c r="V127" i="18"/>
  <c r="V119" i="18"/>
  <c r="V111" i="18"/>
  <c r="V103" i="18"/>
  <c r="V95" i="18"/>
  <c r="V87" i="18"/>
  <c r="V79" i="18"/>
  <c r="V208" i="18"/>
  <c r="V200" i="18"/>
  <c r="V194" i="18"/>
  <c r="V190" i="18"/>
  <c r="V182" i="18"/>
  <c r="V178" i="18"/>
  <c r="V174" i="18"/>
  <c r="V170" i="18"/>
  <c r="V166" i="18"/>
  <c r="V162" i="18"/>
  <c r="V154" i="18"/>
  <c r="V150" i="18"/>
  <c r="V138" i="18"/>
  <c r="V130" i="18"/>
  <c r="V126" i="18"/>
  <c r="V118" i="18"/>
  <c r="V110" i="18"/>
  <c r="V102" i="18"/>
  <c r="V94" i="18"/>
  <c r="V86" i="18"/>
  <c r="V78" i="18"/>
  <c r="V203" i="18"/>
  <c r="V197" i="18"/>
  <c r="V193" i="18"/>
  <c r="V181" i="18"/>
  <c r="V177" i="18"/>
  <c r="V173" i="18"/>
  <c r="V169" i="18"/>
  <c r="V165" i="18"/>
  <c r="V153" i="18"/>
  <c r="V141" i="18"/>
  <c r="V129" i="18"/>
  <c r="V125" i="18"/>
  <c r="V117" i="18"/>
  <c r="V109" i="18"/>
  <c r="V101" i="18"/>
  <c r="V93" i="18"/>
  <c r="V85" i="18"/>
  <c r="V100" i="18"/>
  <c r="V168" i="18"/>
  <c r="V156" i="18"/>
  <c r="V124" i="18"/>
  <c r="V140" i="18"/>
  <c r="V108" i="18"/>
  <c r="Z12" i="18"/>
  <c r="V192" i="18"/>
  <c r="V128" i="18"/>
  <c r="V114" i="18"/>
  <c r="V172" i="18"/>
  <c r="V164" i="18"/>
  <c r="V152" i="18"/>
  <c r="V84" i="18"/>
  <c r="V144" i="18"/>
  <c r="V92" i="18"/>
  <c r="V180" i="18"/>
  <c r="V196" i="18"/>
  <c r="J132" i="30"/>
  <c r="J126" i="30"/>
  <c r="J122" i="30"/>
  <c r="J112" i="30"/>
  <c r="J102" i="30"/>
  <c r="J96" i="30"/>
  <c r="J88" i="30"/>
  <c r="J80" i="30"/>
  <c r="J74" i="30"/>
  <c r="J66" i="30"/>
  <c r="J58" i="30"/>
  <c r="J119" i="30"/>
  <c r="J105" i="30"/>
  <c r="J99" i="30"/>
  <c r="J93" i="30"/>
  <c r="J85" i="30"/>
  <c r="J73" i="30"/>
  <c r="J65" i="30"/>
  <c r="J57" i="30"/>
  <c r="J124" i="30"/>
  <c r="J114" i="30"/>
  <c r="J108" i="30"/>
  <c r="J90" i="30"/>
  <c r="J84" i="30"/>
  <c r="J72" i="30"/>
  <c r="J70" i="30"/>
  <c r="J64" i="30"/>
  <c r="J56" i="30"/>
  <c r="J50" i="30"/>
  <c r="J127" i="30"/>
  <c r="J121" i="30"/>
  <c r="J111" i="30"/>
  <c r="J107" i="30"/>
  <c r="J101" i="30"/>
  <c r="J95" i="30"/>
  <c r="J87" i="30"/>
  <c r="J83" i="30"/>
  <c r="J79" i="30"/>
  <c r="J63" i="30"/>
  <c r="J55" i="30"/>
  <c r="J118" i="30"/>
  <c r="J110" i="30"/>
  <c r="J104" i="30"/>
  <c r="J98" i="30"/>
  <c r="J92" i="30"/>
  <c r="J82" i="30"/>
  <c r="J78" i="30"/>
  <c r="J62" i="30"/>
  <c r="J54" i="30"/>
  <c r="J123" i="30"/>
  <c r="J117" i="30"/>
  <c r="J113" i="30"/>
  <c r="J97" i="30"/>
  <c r="J89" i="30"/>
  <c r="J81" i="30"/>
  <c r="J77" i="30"/>
  <c r="J71" i="30"/>
  <c r="J61" i="30"/>
  <c r="J53" i="30"/>
  <c r="J128" i="30"/>
  <c r="J120" i="30"/>
  <c r="J116" i="30"/>
  <c r="J106" i="30"/>
  <c r="J100" i="30"/>
  <c r="J94" i="30"/>
  <c r="J86" i="30"/>
  <c r="J76" i="30"/>
  <c r="J60" i="30"/>
  <c r="J52" i="30"/>
  <c r="N12" i="30"/>
  <c r="J59" i="30"/>
  <c r="J115" i="30"/>
  <c r="J109" i="30"/>
  <c r="J75" i="30"/>
  <c r="J103" i="30"/>
  <c r="J51" i="30"/>
  <c r="J91" i="30"/>
  <c r="H68" i="30"/>
  <c r="D31" i="10"/>
  <c r="Z199" i="18"/>
  <c r="J185" i="12"/>
  <c r="J177" i="12"/>
  <c r="J165" i="12"/>
  <c r="J161" i="12"/>
  <c r="J157" i="12"/>
  <c r="J153" i="12"/>
  <c r="J149" i="12"/>
  <c r="J137" i="12"/>
  <c r="J131" i="12"/>
  <c r="J125" i="12"/>
  <c r="J119" i="12"/>
  <c r="J105" i="12"/>
  <c r="J89" i="12"/>
  <c r="J81" i="12"/>
  <c r="J73" i="12"/>
  <c r="J65" i="12"/>
  <c r="J180" i="12"/>
  <c r="J176" i="12"/>
  <c r="J170" i="12"/>
  <c r="J164" i="12"/>
  <c r="J156" i="12"/>
  <c r="J152" i="12"/>
  <c r="J148" i="12"/>
  <c r="J142" i="12"/>
  <c r="J128" i="12"/>
  <c r="J124" i="12"/>
  <c r="J116" i="12"/>
  <c r="J104" i="12"/>
  <c r="J98" i="12"/>
  <c r="J88" i="12"/>
  <c r="J80" i="12"/>
  <c r="J72" i="12"/>
  <c r="J189" i="12"/>
  <c r="J183" i="12"/>
  <c r="J173" i="12"/>
  <c r="J145" i="12"/>
  <c r="J139" i="12"/>
  <c r="J133" i="12"/>
  <c r="J127" i="12"/>
  <c r="J121" i="12"/>
  <c r="J115" i="12"/>
  <c r="J109" i="12"/>
  <c r="J103" i="12"/>
  <c r="J87" i="12"/>
  <c r="J79" i="12"/>
  <c r="J71" i="12"/>
  <c r="J160" i="12"/>
  <c r="J136" i="12"/>
  <c r="J130" i="12"/>
  <c r="J118" i="12"/>
  <c r="J114" i="12"/>
  <c r="J102" i="12"/>
  <c r="H95" i="12"/>
  <c r="J86" i="12"/>
  <c r="J78" i="12"/>
  <c r="J70" i="12"/>
  <c r="J64" i="12"/>
  <c r="J179" i="12"/>
  <c r="J175" i="12"/>
  <c r="J169" i="12"/>
  <c r="J163" i="12"/>
  <c r="J155" i="12"/>
  <c r="J151" i="12"/>
  <c r="J147" i="12"/>
  <c r="J141" i="12"/>
  <c r="J123" i="12"/>
  <c r="J113" i="12"/>
  <c r="J101" i="12"/>
  <c r="J93" i="12"/>
  <c r="J85" i="12"/>
  <c r="J77" i="12"/>
  <c r="J69" i="12"/>
  <c r="J184" i="12"/>
  <c r="J172" i="12"/>
  <c r="J168" i="12"/>
  <c r="J144" i="12"/>
  <c r="J138" i="12"/>
  <c r="J132" i="12"/>
  <c r="J126" i="12"/>
  <c r="J120" i="12"/>
  <c r="J112" i="12"/>
  <c r="J108" i="12"/>
  <c r="J100" i="12"/>
  <c r="J92" i="12"/>
  <c r="J84" i="12"/>
  <c r="J76" i="12"/>
  <c r="J68" i="12"/>
  <c r="J171" i="12"/>
  <c r="J167" i="12"/>
  <c r="J159" i="12"/>
  <c r="J143" i="12"/>
  <c r="J135" i="12"/>
  <c r="J129" i="12"/>
  <c r="J117" i="12"/>
  <c r="J111" i="12"/>
  <c r="J107" i="12"/>
  <c r="J99" i="12"/>
  <c r="J97" i="12"/>
  <c r="J91" i="12"/>
  <c r="J83" i="12"/>
  <c r="J75" i="12"/>
  <c r="J67" i="12"/>
  <c r="J162" i="12"/>
  <c r="J154" i="12"/>
  <c r="J110" i="12"/>
  <c r="J134" i="12"/>
  <c r="J178" i="12"/>
  <c r="J150" i="12"/>
  <c r="J106" i="12"/>
  <c r="J182" i="12"/>
  <c r="J66" i="12"/>
  <c r="J174" i="12"/>
  <c r="J146" i="12"/>
  <c r="J140" i="12"/>
  <c r="J122" i="12"/>
  <c r="J90" i="12"/>
  <c r="J82" i="12"/>
  <c r="J166" i="12"/>
  <c r="J158" i="12"/>
  <c r="J74" i="12"/>
  <c r="H27" i="7"/>
  <c r="N18" i="7"/>
  <c r="T27" i="5"/>
  <c r="Z18" i="5"/>
  <c r="D31" i="7"/>
  <c r="X18" i="97"/>
  <c r="P27" i="97"/>
  <c r="H37" i="79"/>
  <c r="H53" i="56"/>
  <c r="N16" i="56"/>
  <c r="H27" i="47"/>
  <c r="L27" i="47" s="1"/>
  <c r="N18" i="47"/>
  <c r="H27" i="40"/>
  <c r="N18" i="40"/>
  <c r="L18" i="40"/>
  <c r="D27" i="40"/>
  <c r="H75" i="45"/>
  <c r="N21" i="45"/>
  <c r="L18" i="28"/>
  <c r="D27" i="28"/>
  <c r="F59" i="33"/>
  <c r="F55" i="33"/>
  <c r="F51" i="33"/>
  <c r="F42" i="33"/>
  <c r="F39" i="33"/>
  <c r="F35" i="33"/>
  <c r="F54" i="33"/>
  <c r="F38" i="33"/>
  <c r="F34" i="33"/>
  <c r="F62" i="33"/>
  <c r="F53" i="33"/>
  <c r="F47" i="33"/>
  <c r="F58" i="33"/>
  <c r="F50" i="33"/>
  <c r="F43" i="33"/>
  <c r="F31" i="33"/>
  <c r="D25" i="33"/>
  <c r="F23" i="33"/>
  <c r="F63" i="33"/>
  <c r="F46" i="33"/>
  <c r="F37" i="33"/>
  <c r="F30" i="33"/>
  <c r="F67" i="33"/>
  <c r="F57" i="33"/>
  <c r="F61" i="33"/>
  <c r="F56" i="33"/>
  <c r="F48" i="33"/>
  <c r="F36" i="33"/>
  <c r="F44" i="33"/>
  <c r="F33" i="33"/>
  <c r="F21" i="33"/>
  <c r="F45" i="33"/>
  <c r="F52" i="33"/>
  <c r="F41" i="33"/>
  <c r="F40" i="33"/>
  <c r="F22" i="33"/>
  <c r="L12" i="33"/>
  <c r="F49" i="33"/>
  <c r="F28" i="33"/>
  <c r="F27" i="33"/>
  <c r="F25" i="33"/>
  <c r="F32" i="33"/>
  <c r="F29" i="33"/>
  <c r="R65" i="21"/>
  <c r="R63" i="21"/>
  <c r="R68" i="21"/>
  <c r="R54" i="21"/>
  <c r="R45" i="21"/>
  <c r="R42" i="21"/>
  <c r="R29" i="21"/>
  <c r="P21" i="21"/>
  <c r="R59" i="21"/>
  <c r="R57" i="21"/>
  <c r="R36" i="21"/>
  <c r="R33" i="21"/>
  <c r="R28" i="21"/>
  <c r="X12" i="21"/>
  <c r="R61" i="21"/>
  <c r="R56" i="21"/>
  <c r="R47" i="21"/>
  <c r="R44" i="21"/>
  <c r="R39" i="21"/>
  <c r="R27" i="21"/>
  <c r="R19" i="21"/>
  <c r="R50" i="21"/>
  <c r="R38" i="21"/>
  <c r="R35" i="21"/>
  <c r="R26" i="21"/>
  <c r="R23" i="21"/>
  <c r="R53" i="21"/>
  <c r="R49" i="21"/>
  <c r="R46" i="21"/>
  <c r="R41" i="21"/>
  <c r="R25" i="21"/>
  <c r="R18" i="21"/>
  <c r="R52" i="21"/>
  <c r="R37" i="21"/>
  <c r="R32" i="21"/>
  <c r="R55" i="21"/>
  <c r="R48" i="21"/>
  <c r="R43" i="21"/>
  <c r="R40" i="21"/>
  <c r="R31" i="21"/>
  <c r="R24" i="21"/>
  <c r="R21" i="21"/>
  <c r="R30" i="21"/>
  <c r="R51" i="21"/>
  <c r="R34" i="21"/>
  <c r="P221" i="3"/>
  <c r="X121" i="3"/>
  <c r="N20" i="94"/>
  <c r="P27" i="96"/>
  <c r="X18" i="96"/>
  <c r="H42" i="88"/>
  <c r="P35" i="88"/>
  <c r="X17" i="88"/>
  <c r="V84" i="84"/>
  <c r="V74" i="84"/>
  <c r="V68" i="84"/>
  <c r="V60" i="84"/>
  <c r="V56" i="84"/>
  <c r="V52" i="84"/>
  <c r="V44" i="84"/>
  <c r="V36" i="84"/>
  <c r="V24" i="84"/>
  <c r="V16" i="84"/>
  <c r="V67" i="84"/>
  <c r="V59" i="84"/>
  <c r="V55" i="84"/>
  <c r="V47" i="84"/>
  <c r="V43" i="84"/>
  <c r="V35" i="84"/>
  <c r="V31" i="84"/>
  <c r="V23" i="84"/>
  <c r="V70" i="84"/>
  <c r="V66" i="84"/>
  <c r="V62" i="84"/>
  <c r="V58" i="84"/>
  <c r="V54" i="84"/>
  <c r="V46" i="84"/>
  <c r="V38" i="84"/>
  <c r="V34" i="84"/>
  <c r="V30" i="84"/>
  <c r="V20" i="84"/>
  <c r="V81" i="84"/>
  <c r="V75" i="84"/>
  <c r="V69" i="84"/>
  <c r="V65" i="84"/>
  <c r="V61" i="84"/>
  <c r="V57" i="84"/>
  <c r="V49" i="84"/>
  <c r="V37" i="84"/>
  <c r="V33" i="84"/>
  <c r="V29" i="84"/>
  <c r="T20" i="84"/>
  <c r="V72" i="84"/>
  <c r="V64" i="84"/>
  <c r="V48" i="84"/>
  <c r="V40" i="84"/>
  <c r="V32" i="84"/>
  <c r="V28" i="84"/>
  <c r="Z12" i="84"/>
  <c r="V71" i="84"/>
  <c r="V63" i="84"/>
  <c r="V51" i="84"/>
  <c r="V39" i="84"/>
  <c r="V27" i="84"/>
  <c r="V50" i="84"/>
  <c r="V42" i="84"/>
  <c r="V26" i="84"/>
  <c r="V22" i="84"/>
  <c r="V18" i="84"/>
  <c r="V53" i="84"/>
  <c r="V79" i="84"/>
  <c r="V17" i="84"/>
  <c r="V77" i="84"/>
  <c r="V41" i="84"/>
  <c r="V25" i="84"/>
  <c r="V45" i="84"/>
  <c r="P27" i="83"/>
  <c r="X17" i="83"/>
  <c r="Z17" i="83" s="1"/>
  <c r="T30" i="81"/>
  <c r="Z16" i="81"/>
  <c r="P36" i="86"/>
  <c r="Z16" i="80"/>
  <c r="T59" i="80"/>
  <c r="P30" i="79"/>
  <c r="X16" i="79"/>
  <c r="H37" i="74"/>
  <c r="X16" i="80"/>
  <c r="L17" i="74"/>
  <c r="N17" i="74" s="1"/>
  <c r="D37" i="74"/>
  <c r="V80" i="77"/>
  <c r="V68" i="77"/>
  <c r="V60" i="77"/>
  <c r="V52" i="77"/>
  <c r="V40" i="77"/>
  <c r="V32" i="77"/>
  <c r="V87" i="77"/>
  <c r="V75" i="77"/>
  <c r="V71" i="77"/>
  <c r="V67" i="77"/>
  <c r="V59" i="77"/>
  <c r="V51" i="77"/>
  <c r="V39" i="77"/>
  <c r="V74" i="77"/>
  <c r="V70" i="77"/>
  <c r="V62" i="77"/>
  <c r="V54" i="77"/>
  <c r="V50" i="77"/>
  <c r="V46" i="77"/>
  <c r="V38" i="77"/>
  <c r="V83" i="77"/>
  <c r="V77" i="77"/>
  <c r="V73" i="77"/>
  <c r="V61" i="77"/>
  <c r="V53" i="77"/>
  <c r="V49" i="77"/>
  <c r="V45" i="77"/>
  <c r="V35" i="77"/>
  <c r="V76" i="77"/>
  <c r="V72" i="77"/>
  <c r="V64" i="77"/>
  <c r="V56" i="77"/>
  <c r="V48" i="77"/>
  <c r="V44" i="77"/>
  <c r="T35" i="77"/>
  <c r="X35" i="77" s="1"/>
  <c r="V79" i="77"/>
  <c r="V63" i="77"/>
  <c r="V55" i="77"/>
  <c r="V47" i="77"/>
  <c r="V43" i="77"/>
  <c r="V78" i="77"/>
  <c r="V66" i="77"/>
  <c r="V58" i="77"/>
  <c r="V42" i="77"/>
  <c r="V37" i="77"/>
  <c r="V33" i="77"/>
  <c r="V69" i="77"/>
  <c r="V81" i="77"/>
  <c r="V57" i="77"/>
  <c r="V41" i="77"/>
  <c r="V65" i="77"/>
  <c r="P48" i="76"/>
  <c r="X17" i="76"/>
  <c r="H59" i="80"/>
  <c r="N16" i="80"/>
  <c r="L16" i="73"/>
  <c r="D44" i="73"/>
  <c r="T31" i="65"/>
  <c r="Z16" i="65"/>
  <c r="L17" i="64"/>
  <c r="D36" i="64"/>
  <c r="J86" i="66"/>
  <c r="J74" i="66"/>
  <c r="J66" i="66"/>
  <c r="J99" i="66"/>
  <c r="J93" i="66"/>
  <c r="J89" i="66"/>
  <c r="J85" i="66"/>
  <c r="J79" i="66"/>
  <c r="J71" i="66"/>
  <c r="J61" i="66"/>
  <c r="J88" i="66"/>
  <c r="J82" i="66"/>
  <c r="J76" i="66"/>
  <c r="J91" i="66"/>
  <c r="J73" i="66"/>
  <c r="J65" i="66"/>
  <c r="J94" i="66"/>
  <c r="J84" i="66"/>
  <c r="J78" i="66"/>
  <c r="J70" i="66"/>
  <c r="J87" i="66"/>
  <c r="J81" i="66"/>
  <c r="J75" i="66"/>
  <c r="J67" i="66"/>
  <c r="J77" i="66"/>
  <c r="J64" i="66"/>
  <c r="J55" i="66"/>
  <c r="J39" i="66"/>
  <c r="J31" i="66"/>
  <c r="J90" i="66"/>
  <c r="J72" i="66"/>
  <c r="J59" i="66"/>
  <c r="J54" i="66"/>
  <c r="J48" i="66"/>
  <c r="J38" i="66"/>
  <c r="J60" i="66"/>
  <c r="J53" i="66"/>
  <c r="J37" i="66"/>
  <c r="J95" i="66"/>
  <c r="J69" i="66"/>
  <c r="J58" i="66"/>
  <c r="J52" i="66"/>
  <c r="H45" i="66"/>
  <c r="J45" i="66" s="1"/>
  <c r="J36" i="66"/>
  <c r="J30" i="66"/>
  <c r="N12" i="66"/>
  <c r="J83" i="66"/>
  <c r="J62" i="66"/>
  <c r="J51" i="66"/>
  <c r="J43" i="66"/>
  <c r="J35" i="66"/>
  <c r="J68" i="66"/>
  <c r="J63" i="66"/>
  <c r="J50" i="66"/>
  <c r="J42" i="66"/>
  <c r="J34" i="66"/>
  <c r="J41" i="66"/>
  <c r="J57" i="66"/>
  <c r="J49" i="66"/>
  <c r="J33" i="66"/>
  <c r="J56" i="66"/>
  <c r="J80" i="66"/>
  <c r="J40" i="66"/>
  <c r="J32" i="66"/>
  <c r="J47" i="66"/>
  <c r="H28" i="55"/>
  <c r="N16" i="55"/>
  <c r="X16" i="61"/>
  <c r="P40" i="61"/>
  <c r="F90" i="66"/>
  <c r="F83" i="66"/>
  <c r="F95" i="66"/>
  <c r="F86" i="66"/>
  <c r="F77" i="66"/>
  <c r="F74" i="66"/>
  <c r="F69" i="66"/>
  <c r="F66" i="66"/>
  <c r="F62" i="66"/>
  <c r="F99" i="66"/>
  <c r="F89" i="66"/>
  <c r="F85" i="66"/>
  <c r="F93" i="66"/>
  <c r="F88" i="66"/>
  <c r="F79" i="66"/>
  <c r="F76" i="66"/>
  <c r="F71" i="66"/>
  <c r="F68" i="66"/>
  <c r="F91" i="66"/>
  <c r="F82" i="66"/>
  <c r="F78" i="66"/>
  <c r="F73" i="66"/>
  <c r="F70" i="66"/>
  <c r="F65" i="66"/>
  <c r="F81" i="66"/>
  <c r="F56" i="66"/>
  <c r="F47" i="66"/>
  <c r="F40" i="66"/>
  <c r="F32" i="66"/>
  <c r="F64" i="66"/>
  <c r="F55" i="66"/>
  <c r="F39" i="66"/>
  <c r="F31" i="66"/>
  <c r="F72" i="66"/>
  <c r="F61" i="66"/>
  <c r="F59" i="66"/>
  <c r="F54" i="66"/>
  <c r="F38" i="66"/>
  <c r="F94" i="66"/>
  <c r="F60" i="66"/>
  <c r="F53" i="66"/>
  <c r="F48" i="66"/>
  <c r="F37" i="66"/>
  <c r="F67" i="66"/>
  <c r="F52" i="66"/>
  <c r="F36" i="66"/>
  <c r="L12" i="66"/>
  <c r="F87" i="66"/>
  <c r="F58" i="66"/>
  <c r="F51" i="66"/>
  <c r="D45" i="66"/>
  <c r="F43" i="66"/>
  <c r="F35" i="66"/>
  <c r="F30" i="66"/>
  <c r="F63" i="66"/>
  <c r="F84" i="66"/>
  <c r="F41" i="66"/>
  <c r="F57" i="66"/>
  <c r="F49" i="66"/>
  <c r="F33" i="66"/>
  <c r="F75" i="66"/>
  <c r="F50" i="66"/>
  <c r="F42" i="66"/>
  <c r="F34" i="66"/>
  <c r="F80" i="66"/>
  <c r="D85" i="62"/>
  <c r="L16" i="62"/>
  <c r="X18" i="52"/>
  <c r="P27" i="52"/>
  <c r="L47" i="48"/>
  <c r="N47" i="48" s="1"/>
  <c r="X18" i="50"/>
  <c r="P27" i="50"/>
  <c r="X18" i="46"/>
  <c r="P27" i="46"/>
  <c r="P54" i="48"/>
  <c r="H22" i="54"/>
  <c r="N16" i="54"/>
  <c r="R83" i="51"/>
  <c r="R68" i="51"/>
  <c r="R65" i="51"/>
  <c r="R60" i="51"/>
  <c r="R56" i="51"/>
  <c r="R48" i="51"/>
  <c r="R40" i="51"/>
  <c r="R71" i="51"/>
  <c r="R59" i="51"/>
  <c r="R55" i="51"/>
  <c r="R39" i="51"/>
  <c r="R32" i="51"/>
  <c r="R81" i="51"/>
  <c r="R67" i="51"/>
  <c r="R62" i="51"/>
  <c r="R58" i="51"/>
  <c r="R54" i="51"/>
  <c r="R47" i="51"/>
  <c r="R38" i="51"/>
  <c r="R84" i="51"/>
  <c r="R77" i="51"/>
  <c r="R73" i="51"/>
  <c r="R70" i="51"/>
  <c r="R53" i="51"/>
  <c r="R37" i="51"/>
  <c r="R76" i="51"/>
  <c r="R64" i="51"/>
  <c r="R61" i="51"/>
  <c r="R57" i="51"/>
  <c r="R52" i="51"/>
  <c r="P44" i="51"/>
  <c r="R44" i="51" s="1"/>
  <c r="R36" i="51"/>
  <c r="X12" i="51"/>
  <c r="R82" i="51"/>
  <c r="R79" i="51"/>
  <c r="R75" i="51"/>
  <c r="R72" i="51"/>
  <c r="R51" i="51"/>
  <c r="R35" i="51"/>
  <c r="R88" i="51"/>
  <c r="R66" i="51"/>
  <c r="R63" i="51"/>
  <c r="R50" i="51"/>
  <c r="R42" i="51"/>
  <c r="R34" i="51"/>
  <c r="R49" i="51"/>
  <c r="R78" i="51"/>
  <c r="R69" i="51"/>
  <c r="R41" i="51"/>
  <c r="R74" i="51"/>
  <c r="R46" i="51"/>
  <c r="R33" i="51"/>
  <c r="H27" i="46"/>
  <c r="N18" i="46"/>
  <c r="J40" i="48"/>
  <c r="J30" i="48"/>
  <c r="J26" i="48"/>
  <c r="J20" i="48"/>
  <c r="J45" i="48"/>
  <c r="J37" i="48"/>
  <c r="J25" i="48"/>
  <c r="J17" i="48"/>
  <c r="J48" i="48"/>
  <c r="J42" i="48"/>
  <c r="J34" i="48"/>
  <c r="J24" i="48"/>
  <c r="H17" i="48"/>
  <c r="L17" i="48" s="1"/>
  <c r="J39" i="48"/>
  <c r="J29" i="48"/>
  <c r="J23" i="48"/>
  <c r="J52" i="48"/>
  <c r="J44" i="48"/>
  <c r="J36" i="48"/>
  <c r="J22" i="48"/>
  <c r="J41" i="48"/>
  <c r="J33" i="48"/>
  <c r="J21" i="48"/>
  <c r="J19" i="48"/>
  <c r="J15" i="48"/>
  <c r="J38" i="48"/>
  <c r="J32" i="48"/>
  <c r="J28" i="48"/>
  <c r="J35" i="48"/>
  <c r="J47" i="48"/>
  <c r="J31" i="48"/>
  <c r="J43" i="48"/>
  <c r="J27" i="48"/>
  <c r="L21" i="42"/>
  <c r="N21" i="42" s="1"/>
  <c r="D86" i="42"/>
  <c r="H27" i="50"/>
  <c r="N18" i="50"/>
  <c r="L16" i="54"/>
  <c r="D22" i="54"/>
  <c r="R77" i="45"/>
  <c r="R71" i="45"/>
  <c r="R73" i="45"/>
  <c r="R30" i="45"/>
  <c r="R69" i="45"/>
  <c r="R53" i="45"/>
  <c r="R50" i="45"/>
  <c r="R45" i="45"/>
  <c r="R42" i="45"/>
  <c r="R34" i="45"/>
  <c r="R29" i="45"/>
  <c r="P21" i="45"/>
  <c r="R68" i="45"/>
  <c r="R28" i="45"/>
  <c r="X12" i="45"/>
  <c r="Z12" i="45" s="1"/>
  <c r="R67" i="45"/>
  <c r="R63" i="45"/>
  <c r="R59" i="45"/>
  <c r="R55" i="45"/>
  <c r="R52" i="45"/>
  <c r="R47" i="45"/>
  <c r="R44" i="45"/>
  <c r="R39" i="45"/>
  <c r="R27" i="45"/>
  <c r="R19" i="45"/>
  <c r="R66" i="45"/>
  <c r="R62" i="45"/>
  <c r="R58" i="45"/>
  <c r="R38" i="45"/>
  <c r="R26" i="45"/>
  <c r="R23" i="45"/>
  <c r="R18" i="45"/>
  <c r="R65" i="45"/>
  <c r="R61" i="45"/>
  <c r="R57" i="45"/>
  <c r="R54" i="45"/>
  <c r="R49" i="45"/>
  <c r="R46" i="45"/>
  <c r="R41" i="45"/>
  <c r="R37" i="45"/>
  <c r="R33" i="45"/>
  <c r="R25" i="45"/>
  <c r="R36" i="45"/>
  <c r="R32" i="45"/>
  <c r="R17" i="45"/>
  <c r="R70" i="45"/>
  <c r="R64" i="45"/>
  <c r="R60" i="45"/>
  <c r="R56" i="45"/>
  <c r="R51" i="45"/>
  <c r="R48" i="45"/>
  <c r="R43" i="45"/>
  <c r="R40" i="45"/>
  <c r="R35" i="45"/>
  <c r="R31" i="45"/>
  <c r="R24" i="45"/>
  <c r="X18" i="40"/>
  <c r="P27" i="40"/>
  <c r="L18" i="47"/>
  <c r="L18" i="44"/>
  <c r="D27" i="44"/>
  <c r="F81" i="51"/>
  <c r="F76" i="51"/>
  <c r="F67" i="51"/>
  <c r="F64" i="51"/>
  <c r="F52" i="51"/>
  <c r="F47" i="51"/>
  <c r="F36" i="51"/>
  <c r="L12" i="51"/>
  <c r="N12" i="51" s="1"/>
  <c r="F84" i="51"/>
  <c r="F79" i="51"/>
  <c r="F75" i="51"/>
  <c r="F70" i="51"/>
  <c r="F51" i="51"/>
  <c r="F35" i="51"/>
  <c r="F88" i="51"/>
  <c r="F66" i="51"/>
  <c r="F61" i="51"/>
  <c r="F57" i="51"/>
  <c r="F50" i="51"/>
  <c r="D44" i="51"/>
  <c r="F42" i="51"/>
  <c r="F34" i="51"/>
  <c r="F82" i="51"/>
  <c r="F72" i="51"/>
  <c r="F69" i="51"/>
  <c r="F49" i="51"/>
  <c r="F41" i="51"/>
  <c r="F33" i="51"/>
  <c r="F68" i="51"/>
  <c r="F63" i="51"/>
  <c r="F60" i="51"/>
  <c r="F56" i="51"/>
  <c r="F48" i="51"/>
  <c r="F40" i="51"/>
  <c r="F78" i="51"/>
  <c r="F74" i="51"/>
  <c r="F71" i="51"/>
  <c r="F59" i="51"/>
  <c r="F55" i="51"/>
  <c r="F46" i="51"/>
  <c r="F39" i="51"/>
  <c r="F83" i="51"/>
  <c r="F65" i="51"/>
  <c r="F62" i="51"/>
  <c r="F58" i="51"/>
  <c r="F54" i="51"/>
  <c r="F38" i="51"/>
  <c r="F32" i="51"/>
  <c r="F53" i="51"/>
  <c r="F77" i="51"/>
  <c r="F73" i="51"/>
  <c r="F37" i="51"/>
  <c r="H27" i="37"/>
  <c r="N18" i="37"/>
  <c r="X18" i="34"/>
  <c r="P27" i="34"/>
  <c r="J81" i="42"/>
  <c r="H86" i="42"/>
  <c r="P27" i="41"/>
  <c r="X18" i="41"/>
  <c r="H92" i="36"/>
  <c r="L18" i="26"/>
  <c r="D27" i="26"/>
  <c r="H27" i="32"/>
  <c r="L27" i="32" s="1"/>
  <c r="N18" i="32"/>
  <c r="J62" i="33"/>
  <c r="J54" i="33"/>
  <c r="J44" i="33"/>
  <c r="J38" i="33"/>
  <c r="J34" i="33"/>
  <c r="J28" i="33"/>
  <c r="J53" i="33"/>
  <c r="J47" i="33"/>
  <c r="J41" i="33"/>
  <c r="J33" i="33"/>
  <c r="J58" i="33"/>
  <c r="J50" i="33"/>
  <c r="J63" i="33"/>
  <c r="J43" i="33"/>
  <c r="J37" i="33"/>
  <c r="J52" i="33"/>
  <c r="J46" i="33"/>
  <c r="J40" i="33"/>
  <c r="J30" i="33"/>
  <c r="J22" i="33"/>
  <c r="J67" i="33"/>
  <c r="J61" i="33"/>
  <c r="J57" i="33"/>
  <c r="J49" i="33"/>
  <c r="J45" i="33"/>
  <c r="J29" i="33"/>
  <c r="J27" i="33"/>
  <c r="J56" i="33"/>
  <c r="J59" i="33"/>
  <c r="J55" i="33"/>
  <c r="J51" i="33"/>
  <c r="J39" i="33"/>
  <c r="J35" i="33"/>
  <c r="J48" i="33"/>
  <c r="J36" i="33"/>
  <c r="J42" i="33"/>
  <c r="J31" i="33"/>
  <c r="N12" i="33"/>
  <c r="H25" i="33"/>
  <c r="J23" i="33"/>
  <c r="J32" i="33"/>
  <c r="J21" i="33"/>
  <c r="L18" i="32"/>
  <c r="V94" i="27"/>
  <c r="V88" i="27"/>
  <c r="V84" i="27"/>
  <c r="V76" i="27"/>
  <c r="V68" i="27"/>
  <c r="V60" i="27"/>
  <c r="V56" i="27"/>
  <c r="V48" i="27"/>
  <c r="V40" i="27"/>
  <c r="V32" i="27"/>
  <c r="V91" i="27"/>
  <c r="V87" i="27"/>
  <c r="V75" i="27"/>
  <c r="V67" i="27"/>
  <c r="V59" i="27"/>
  <c r="V55" i="27"/>
  <c r="V39" i="27"/>
  <c r="V31" i="27"/>
  <c r="V90" i="27"/>
  <c r="V78" i="27"/>
  <c r="V70" i="27"/>
  <c r="V58" i="27"/>
  <c r="V54" i="27"/>
  <c r="T45" i="27"/>
  <c r="V38" i="27"/>
  <c r="V30" i="27"/>
  <c r="V95" i="27"/>
  <c r="V81" i="27"/>
  <c r="V77" i="27"/>
  <c r="V69" i="27"/>
  <c r="V53" i="27"/>
  <c r="V37" i="27"/>
  <c r="V80" i="27"/>
  <c r="V72" i="27"/>
  <c r="V64" i="27"/>
  <c r="V52" i="27"/>
  <c r="V36" i="27"/>
  <c r="Z12" i="27"/>
  <c r="V93" i="27"/>
  <c r="V83" i="27"/>
  <c r="V79" i="27"/>
  <c r="V71" i="27"/>
  <c r="V63" i="27"/>
  <c r="V51" i="27"/>
  <c r="V47" i="27"/>
  <c r="V43" i="27"/>
  <c r="V35" i="27"/>
  <c r="V86" i="27"/>
  <c r="V82" i="27"/>
  <c r="V74" i="27"/>
  <c r="V66" i="27"/>
  <c r="V62" i="27"/>
  <c r="V50" i="27"/>
  <c r="V42" i="27"/>
  <c r="V34" i="27"/>
  <c r="V89" i="27"/>
  <c r="V57" i="27"/>
  <c r="V41" i="27"/>
  <c r="V99" i="27"/>
  <c r="V73" i="27"/>
  <c r="V61" i="27"/>
  <c r="V49" i="27"/>
  <c r="V33" i="27"/>
  <c r="V85" i="27"/>
  <c r="V65" i="27"/>
  <c r="T27" i="25"/>
  <c r="Z18" i="25"/>
  <c r="P31" i="31"/>
  <c r="Z27" i="29"/>
  <c r="T31" i="29"/>
  <c r="L27" i="29"/>
  <c r="D31" i="29"/>
  <c r="F94" i="27"/>
  <c r="F84" i="27"/>
  <c r="F81" i="27"/>
  <c r="F53" i="27"/>
  <c r="F48" i="27"/>
  <c r="F37" i="27"/>
  <c r="F87" i="27"/>
  <c r="F80" i="27"/>
  <c r="F75" i="27"/>
  <c r="F72" i="27"/>
  <c r="F67" i="27"/>
  <c r="F64" i="27"/>
  <c r="F52" i="27"/>
  <c r="F36" i="27"/>
  <c r="L12" i="27"/>
  <c r="F90" i="27"/>
  <c r="F83" i="27"/>
  <c r="F63" i="27"/>
  <c r="F58" i="27"/>
  <c r="F51" i="27"/>
  <c r="D45" i="27"/>
  <c r="F43" i="27"/>
  <c r="F35" i="27"/>
  <c r="F30" i="27"/>
  <c r="F95" i="27"/>
  <c r="F86" i="27"/>
  <c r="F77" i="27"/>
  <c r="F74" i="27"/>
  <c r="F69" i="27"/>
  <c r="F66" i="27"/>
  <c r="F62" i="27"/>
  <c r="F50" i="27"/>
  <c r="F42" i="27"/>
  <c r="F34" i="27"/>
  <c r="F99" i="27"/>
  <c r="F89" i="27"/>
  <c r="F85" i="27"/>
  <c r="F61" i="27"/>
  <c r="F57" i="27"/>
  <c r="F49" i="27"/>
  <c r="F41" i="27"/>
  <c r="F33" i="27"/>
  <c r="F93" i="27"/>
  <c r="F88" i="27"/>
  <c r="F79" i="27"/>
  <c r="F76" i="27"/>
  <c r="F71" i="27"/>
  <c r="F68" i="27"/>
  <c r="F60" i="27"/>
  <c r="F56" i="27"/>
  <c r="F47" i="27"/>
  <c r="F40" i="27"/>
  <c r="F32" i="27"/>
  <c r="F91" i="27"/>
  <c r="F82" i="27"/>
  <c r="F59" i="27"/>
  <c r="F55" i="27"/>
  <c r="F39" i="27"/>
  <c r="F31" i="27"/>
  <c r="F38" i="27"/>
  <c r="F73" i="27"/>
  <c r="F65" i="27"/>
  <c r="F70" i="27"/>
  <c r="F78" i="27"/>
  <c r="F54" i="27"/>
  <c r="T27" i="20"/>
  <c r="Z18" i="20"/>
  <c r="T27" i="16"/>
  <c r="Z18" i="16"/>
  <c r="T27" i="23"/>
  <c r="X27" i="23" s="1"/>
  <c r="Z18" i="23"/>
  <c r="L18" i="16"/>
  <c r="D27" i="16"/>
  <c r="H206" i="18"/>
  <c r="H27" i="11"/>
  <c r="N18" i="11"/>
  <c r="H27" i="14"/>
  <c r="N18" i="14"/>
  <c r="F178" i="12"/>
  <c r="F174" i="12"/>
  <c r="F166" i="12"/>
  <c r="F162" i="12"/>
  <c r="F158" i="12"/>
  <c r="F154" i="12"/>
  <c r="F150" i="12"/>
  <c r="F146" i="12"/>
  <c r="F134" i="12"/>
  <c r="F129" i="12"/>
  <c r="F122" i="12"/>
  <c r="F117" i="12"/>
  <c r="F110" i="12"/>
  <c r="F106" i="12"/>
  <c r="F97" i="12"/>
  <c r="F90" i="12"/>
  <c r="F82" i="12"/>
  <c r="F74" i="12"/>
  <c r="F66" i="12"/>
  <c r="F182" i="12"/>
  <c r="F177" i="12"/>
  <c r="F165" i="12"/>
  <c r="F161" i="12"/>
  <c r="F157" i="12"/>
  <c r="F153" i="12"/>
  <c r="F149" i="12"/>
  <c r="F140" i="12"/>
  <c r="F137" i="12"/>
  <c r="F125" i="12"/>
  <c r="F105" i="12"/>
  <c r="F89" i="12"/>
  <c r="F81" i="12"/>
  <c r="F73" i="12"/>
  <c r="F65" i="12"/>
  <c r="F185" i="12"/>
  <c r="F180" i="12"/>
  <c r="F176" i="12"/>
  <c r="F164" i="12"/>
  <c r="F156" i="12"/>
  <c r="F152" i="12"/>
  <c r="F148" i="12"/>
  <c r="F131" i="12"/>
  <c r="F128" i="12"/>
  <c r="F124" i="12"/>
  <c r="F119" i="12"/>
  <c r="F116" i="12"/>
  <c r="F104" i="12"/>
  <c r="F88" i="12"/>
  <c r="F80" i="12"/>
  <c r="F72" i="12"/>
  <c r="F189" i="12"/>
  <c r="F170" i="12"/>
  <c r="F142" i="12"/>
  <c r="F139" i="12"/>
  <c r="F127" i="12"/>
  <c r="F115" i="12"/>
  <c r="F103" i="12"/>
  <c r="F98" i="12"/>
  <c r="F87" i="12"/>
  <c r="F79" i="12"/>
  <c r="F71" i="12"/>
  <c r="F183" i="12"/>
  <c r="F173" i="12"/>
  <c r="F145" i="12"/>
  <c r="F133" i="12"/>
  <c r="F130" i="12"/>
  <c r="F121" i="12"/>
  <c r="F118" i="12"/>
  <c r="F114" i="12"/>
  <c r="F109" i="12"/>
  <c r="F102" i="12"/>
  <c r="F86" i="12"/>
  <c r="F78" i="12"/>
  <c r="F70" i="12"/>
  <c r="F169" i="12"/>
  <c r="F160" i="12"/>
  <c r="F141" i="12"/>
  <c r="F136" i="12"/>
  <c r="F113" i="12"/>
  <c r="F101" i="12"/>
  <c r="D95" i="12"/>
  <c r="F93" i="12"/>
  <c r="F85" i="12"/>
  <c r="F77" i="12"/>
  <c r="F69" i="12"/>
  <c r="F64" i="12"/>
  <c r="F179" i="12"/>
  <c r="F175" i="12"/>
  <c r="F172" i="12"/>
  <c r="F168" i="12"/>
  <c r="F163" i="12"/>
  <c r="F155" i="12"/>
  <c r="F151" i="12"/>
  <c r="F147" i="12"/>
  <c r="F144" i="12"/>
  <c r="F132" i="12"/>
  <c r="F123" i="12"/>
  <c r="F120" i="12"/>
  <c r="F112" i="12"/>
  <c r="F108" i="12"/>
  <c r="F100" i="12"/>
  <c r="F92" i="12"/>
  <c r="F84" i="12"/>
  <c r="F76" i="12"/>
  <c r="F68" i="12"/>
  <c r="L12" i="12"/>
  <c r="N12" i="12" s="1"/>
  <c r="F75" i="12"/>
  <c r="F184" i="12"/>
  <c r="F167" i="12"/>
  <c r="F159" i="12"/>
  <c r="F126" i="12"/>
  <c r="F99" i="12"/>
  <c r="F138" i="12"/>
  <c r="F111" i="12"/>
  <c r="F171" i="12"/>
  <c r="F143" i="12"/>
  <c r="F135" i="12"/>
  <c r="F83" i="12"/>
  <c r="F107" i="12"/>
  <c r="F67" i="12"/>
  <c r="F91" i="12"/>
  <c r="Z27" i="10"/>
  <c r="T31" i="10"/>
  <c r="L16" i="9"/>
  <c r="D77" i="9"/>
  <c r="L18" i="5"/>
  <c r="D27" i="5"/>
  <c r="L18" i="7"/>
  <c r="X20" i="84"/>
  <c r="P77" i="84"/>
  <c r="T48" i="76"/>
  <c r="Z17" i="76"/>
  <c r="F107" i="69"/>
  <c r="F104" i="69"/>
  <c r="F100" i="69"/>
  <c r="F96" i="69"/>
  <c r="F116" i="69"/>
  <c r="F106" i="69"/>
  <c r="F102" i="69"/>
  <c r="F110" i="69"/>
  <c r="F92" i="69"/>
  <c r="F89" i="69"/>
  <c r="F108" i="69"/>
  <c r="F95" i="69"/>
  <c r="F98" i="69"/>
  <c r="F91" i="69"/>
  <c r="F90" i="69"/>
  <c r="F85" i="69"/>
  <c r="F84" i="69"/>
  <c r="F79" i="69"/>
  <c r="F70" i="69"/>
  <c r="F63" i="69"/>
  <c r="F55" i="69"/>
  <c r="F50" i="69"/>
  <c r="F83" i="69"/>
  <c r="F82" i="69"/>
  <c r="F78" i="69"/>
  <c r="F62" i="69"/>
  <c r="F54" i="69"/>
  <c r="F97" i="69"/>
  <c r="F81" i="69"/>
  <c r="F77" i="69"/>
  <c r="F61" i="69"/>
  <c r="F53" i="69"/>
  <c r="F103" i="69"/>
  <c r="F76" i="69"/>
  <c r="F71" i="69"/>
  <c r="F60" i="69"/>
  <c r="F52" i="69"/>
  <c r="L12" i="69"/>
  <c r="F99" i="69"/>
  <c r="F88" i="69"/>
  <c r="F75" i="69"/>
  <c r="F68" i="69"/>
  <c r="F59" i="69"/>
  <c r="F51" i="69"/>
  <c r="F87" i="69"/>
  <c r="F74" i="69"/>
  <c r="D68" i="69"/>
  <c r="F66" i="69"/>
  <c r="F58" i="69"/>
  <c r="F57" i="69"/>
  <c r="F105" i="69"/>
  <c r="F72" i="69"/>
  <c r="F64" i="69"/>
  <c r="F111" i="69"/>
  <c r="F93" i="69"/>
  <c r="F73" i="69"/>
  <c r="F65" i="69"/>
  <c r="F112" i="69"/>
  <c r="F101" i="69"/>
  <c r="F56" i="69"/>
  <c r="F80" i="69"/>
  <c r="F86" i="69"/>
  <c r="F94" i="69"/>
  <c r="T53" i="57"/>
  <c r="Z16" i="57"/>
  <c r="X18" i="32"/>
  <c r="P27" i="32"/>
  <c r="L18" i="17"/>
  <c r="D27" i="17"/>
  <c r="D31" i="97"/>
  <c r="L27" i="97"/>
  <c r="H31" i="97"/>
  <c r="N27" i="97"/>
  <c r="D51" i="93"/>
  <c r="L16" i="93"/>
  <c r="D36" i="96"/>
  <c r="H24" i="94"/>
  <c r="N16" i="94"/>
  <c r="V59" i="90"/>
  <c r="V58" i="90"/>
  <c r="V67" i="90"/>
  <c r="V61" i="90"/>
  <c r="V57" i="90"/>
  <c r="V53" i="90"/>
  <c r="V60" i="90"/>
  <c r="V56" i="90"/>
  <c r="V52" i="90"/>
  <c r="V48" i="90"/>
  <c r="V54" i="90"/>
  <c r="V50" i="90"/>
  <c r="V42" i="90"/>
  <c r="V63" i="90"/>
  <c r="V44" i="90"/>
  <c r="V40" i="90"/>
  <c r="V28" i="90"/>
  <c r="V45" i="90"/>
  <c r="V27" i="90"/>
  <c r="V23" i="90"/>
  <c r="V19" i="90"/>
  <c r="V55" i="90"/>
  <c r="V26" i="90"/>
  <c r="V18" i="90"/>
  <c r="V37" i="90"/>
  <c r="V33" i="90"/>
  <c r="V25" i="90"/>
  <c r="V17" i="90"/>
  <c r="V49" i="90"/>
  <c r="V43" i="90"/>
  <c r="V36" i="90"/>
  <c r="V32" i="90"/>
  <c r="V24" i="90"/>
  <c r="V51" i="90"/>
  <c r="V39" i="90"/>
  <c r="V35" i="90"/>
  <c r="V31" i="90"/>
  <c r="V21" i="90"/>
  <c r="V47" i="90"/>
  <c r="V46" i="90"/>
  <c r="V38" i="90"/>
  <c r="V34" i="90"/>
  <c r="V30" i="90"/>
  <c r="T21" i="90"/>
  <c r="V41" i="90"/>
  <c r="V29" i="90"/>
  <c r="H41" i="89"/>
  <c r="N16" i="89"/>
  <c r="T35" i="88"/>
  <c r="Z17" i="88"/>
  <c r="H36" i="82"/>
  <c r="N16" i="82"/>
  <c r="D30" i="81"/>
  <c r="L16" i="81"/>
  <c r="L16" i="80"/>
  <c r="D59" i="80"/>
  <c r="H77" i="84"/>
  <c r="N20" i="84"/>
  <c r="P43" i="82"/>
  <c r="P63" i="80"/>
  <c r="X59" i="80"/>
  <c r="L56" i="80"/>
  <c r="Z56" i="80"/>
  <c r="T37" i="79"/>
  <c r="D55" i="76"/>
  <c r="R64" i="70"/>
  <c r="R35" i="70"/>
  <c r="R30" i="70"/>
  <c r="R50" i="70"/>
  <c r="R41" i="70"/>
  <c r="R38" i="70"/>
  <c r="R29" i="70"/>
  <c r="R59" i="70"/>
  <c r="R44" i="70"/>
  <c r="R28" i="70"/>
  <c r="R25" i="70"/>
  <c r="R21" i="70"/>
  <c r="X12" i="70"/>
  <c r="Z12" i="70" s="1"/>
  <c r="R55" i="70"/>
  <c r="R47" i="70"/>
  <c r="R43" i="70"/>
  <c r="R40" i="70"/>
  <c r="R27" i="70"/>
  <c r="R54" i="70"/>
  <c r="R46" i="70"/>
  <c r="R34" i="70"/>
  <c r="R60" i="70"/>
  <c r="R57" i="70"/>
  <c r="R53" i="70"/>
  <c r="R49" i="70"/>
  <c r="R42" i="70"/>
  <c r="R37" i="70"/>
  <c r="R33" i="70"/>
  <c r="R26" i="70"/>
  <c r="R56" i="70"/>
  <c r="R39" i="70"/>
  <c r="R45" i="70"/>
  <c r="R36" i="70"/>
  <c r="P23" i="70"/>
  <c r="R32" i="70"/>
  <c r="R52" i="70"/>
  <c r="R48" i="70"/>
  <c r="R51" i="70"/>
  <c r="R31" i="70"/>
  <c r="J103" i="69"/>
  <c r="J99" i="69"/>
  <c r="J87" i="69"/>
  <c r="J108" i="69"/>
  <c r="J98" i="69"/>
  <c r="J86" i="69"/>
  <c r="J111" i="69"/>
  <c r="J105" i="69"/>
  <c r="J101" i="69"/>
  <c r="J94" i="69"/>
  <c r="J107" i="69"/>
  <c r="J106" i="69"/>
  <c r="J83" i="69"/>
  <c r="J82" i="69"/>
  <c r="J78" i="69"/>
  <c r="J62" i="69"/>
  <c r="J54" i="69"/>
  <c r="J102" i="69"/>
  <c r="J97" i="69"/>
  <c r="J89" i="69"/>
  <c r="J81" i="69"/>
  <c r="J77" i="69"/>
  <c r="J71" i="69"/>
  <c r="J61" i="69"/>
  <c r="J53" i="69"/>
  <c r="J88" i="69"/>
  <c r="J76" i="69"/>
  <c r="J60" i="69"/>
  <c r="J52" i="69"/>
  <c r="N12" i="69"/>
  <c r="J116" i="69"/>
  <c r="J75" i="69"/>
  <c r="H68" i="69"/>
  <c r="J68" i="69" s="1"/>
  <c r="J59" i="69"/>
  <c r="J51" i="69"/>
  <c r="J110" i="69"/>
  <c r="J80" i="69"/>
  <c r="J74" i="69"/>
  <c r="J66" i="69"/>
  <c r="J58" i="69"/>
  <c r="J112" i="69"/>
  <c r="J104" i="69"/>
  <c r="J95" i="69"/>
  <c r="J93" i="69"/>
  <c r="J92" i="69"/>
  <c r="J73" i="69"/>
  <c r="J65" i="69"/>
  <c r="J57" i="69"/>
  <c r="J72" i="69"/>
  <c r="J64" i="69"/>
  <c r="J96" i="69"/>
  <c r="J84" i="69"/>
  <c r="J55" i="69"/>
  <c r="J100" i="69"/>
  <c r="J90" i="69"/>
  <c r="J79" i="69"/>
  <c r="J56" i="69"/>
  <c r="J85" i="69"/>
  <c r="J63" i="69"/>
  <c r="J91" i="69"/>
  <c r="J50" i="69"/>
  <c r="J70" i="69"/>
  <c r="Z93" i="66"/>
  <c r="D31" i="65"/>
  <c r="L16" i="65"/>
  <c r="R111" i="69"/>
  <c r="R108" i="69"/>
  <c r="R105" i="69"/>
  <c r="R101" i="69"/>
  <c r="R107" i="69"/>
  <c r="R112" i="69"/>
  <c r="R97" i="69"/>
  <c r="R93" i="69"/>
  <c r="R90" i="69"/>
  <c r="R85" i="69"/>
  <c r="R104" i="69"/>
  <c r="R100" i="69"/>
  <c r="R96" i="69"/>
  <c r="R110" i="69"/>
  <c r="R103" i="69"/>
  <c r="R99" i="69"/>
  <c r="R92" i="69"/>
  <c r="R116" i="69"/>
  <c r="R80" i="69"/>
  <c r="R75" i="69"/>
  <c r="R59" i="69"/>
  <c r="R51" i="69"/>
  <c r="R74" i="69"/>
  <c r="R66" i="69"/>
  <c r="R58" i="69"/>
  <c r="R95" i="69"/>
  <c r="R87" i="69"/>
  <c r="R86" i="69"/>
  <c r="R73" i="69"/>
  <c r="R70" i="69"/>
  <c r="R65" i="69"/>
  <c r="R57" i="69"/>
  <c r="R50" i="69"/>
  <c r="R91" i="69"/>
  <c r="R72" i="69"/>
  <c r="R64" i="69"/>
  <c r="R56" i="69"/>
  <c r="R94" i="69"/>
  <c r="R84" i="69"/>
  <c r="R79" i="69"/>
  <c r="R63" i="69"/>
  <c r="R55" i="69"/>
  <c r="R106" i="69"/>
  <c r="R83" i="69"/>
  <c r="R82" i="69"/>
  <c r="R78" i="69"/>
  <c r="R71" i="69"/>
  <c r="R62" i="69"/>
  <c r="R54" i="69"/>
  <c r="R88" i="69"/>
  <c r="R61" i="69"/>
  <c r="R52" i="69"/>
  <c r="R89" i="69"/>
  <c r="P68" i="69"/>
  <c r="R53" i="69"/>
  <c r="R98" i="69"/>
  <c r="R76" i="69"/>
  <c r="R77" i="69"/>
  <c r="R81" i="69"/>
  <c r="R60" i="69"/>
  <c r="R102" i="69"/>
  <c r="X12" i="69"/>
  <c r="Z12" i="69" s="1"/>
  <c r="H27" i="53"/>
  <c r="N18" i="53"/>
  <c r="T57" i="58"/>
  <c r="Z16" i="58"/>
  <c r="T44" i="61"/>
  <c r="Z16" i="54"/>
  <c r="T22" i="54"/>
  <c r="P61" i="58"/>
  <c r="X57" i="58"/>
  <c r="T27" i="41"/>
  <c r="Z18" i="41"/>
  <c r="H27" i="52"/>
  <c r="N18" i="52"/>
  <c r="X18" i="53"/>
  <c r="P27" i="53"/>
  <c r="L12" i="48"/>
  <c r="N12" i="48" s="1"/>
  <c r="T36" i="43"/>
  <c r="Z36" i="43" s="1"/>
  <c r="X21" i="42"/>
  <c r="Z21" i="42" s="1"/>
  <c r="P86" i="42"/>
  <c r="T27" i="35"/>
  <c r="Z18" i="35"/>
  <c r="F90" i="36"/>
  <c r="F85" i="36"/>
  <c r="F80" i="36"/>
  <c r="F72" i="36"/>
  <c r="F49" i="36"/>
  <c r="F44" i="36"/>
  <c r="F41" i="36"/>
  <c r="F36" i="36"/>
  <c r="F29" i="36"/>
  <c r="D23" i="36"/>
  <c r="F21" i="36"/>
  <c r="F94" i="36"/>
  <c r="F67" i="36"/>
  <c r="F63" i="36"/>
  <c r="F60" i="36"/>
  <c r="F55" i="36"/>
  <c r="F52" i="36"/>
  <c r="F40" i="36"/>
  <c r="F28" i="36"/>
  <c r="F20" i="36"/>
  <c r="L12" i="36"/>
  <c r="N12" i="36" s="1"/>
  <c r="F88" i="36"/>
  <c r="F82" i="36"/>
  <c r="F79" i="36"/>
  <c r="F74" i="36"/>
  <c r="F71" i="36"/>
  <c r="F46" i="36"/>
  <c r="F43" i="36"/>
  <c r="F39" i="36"/>
  <c r="F35" i="36"/>
  <c r="F27" i="36"/>
  <c r="F78" i="36"/>
  <c r="F70" i="36"/>
  <c r="F66" i="36"/>
  <c r="F62" i="36"/>
  <c r="F57" i="36"/>
  <c r="F54" i="36"/>
  <c r="F38" i="36"/>
  <c r="F34" i="36"/>
  <c r="F25" i="36"/>
  <c r="F84" i="36"/>
  <c r="F81" i="36"/>
  <c r="F77" i="36"/>
  <c r="F73" i="36"/>
  <c r="F69" i="36"/>
  <c r="F65" i="36"/>
  <c r="F48" i="36"/>
  <c r="F45" i="36"/>
  <c r="F37" i="36"/>
  <c r="F33" i="36"/>
  <c r="F89" i="36"/>
  <c r="F76" i="36"/>
  <c r="F68" i="36"/>
  <c r="F64" i="36"/>
  <c r="F59" i="36"/>
  <c r="F56" i="36"/>
  <c r="F51" i="36"/>
  <c r="F32" i="36"/>
  <c r="F19" i="36"/>
  <c r="F83" i="36"/>
  <c r="F75" i="36"/>
  <c r="F47" i="36"/>
  <c r="F42" i="36"/>
  <c r="F31" i="36"/>
  <c r="F26" i="36"/>
  <c r="F87" i="36"/>
  <c r="F61" i="36"/>
  <c r="F58" i="36"/>
  <c r="F53" i="36"/>
  <c r="F50" i="36"/>
  <c r="F30" i="36"/>
  <c r="F23" i="36"/>
  <c r="X18" i="37"/>
  <c r="P27" i="37"/>
  <c r="X18" i="35"/>
  <c r="L18" i="25"/>
  <c r="D27" i="25"/>
  <c r="L18" i="23"/>
  <c r="D27" i="23"/>
  <c r="H27" i="31"/>
  <c r="N18" i="31"/>
  <c r="V128" i="30"/>
  <c r="V118" i="30"/>
  <c r="V110" i="30"/>
  <c r="V106" i="30"/>
  <c r="V98" i="30"/>
  <c r="V94" i="30"/>
  <c r="V86" i="30"/>
  <c r="V82" i="30"/>
  <c r="V78" i="30"/>
  <c r="V62" i="30"/>
  <c r="V54" i="30"/>
  <c r="V117" i="30"/>
  <c r="V113" i="30"/>
  <c r="V109" i="30"/>
  <c r="V97" i="30"/>
  <c r="V89" i="30"/>
  <c r="V81" i="30"/>
  <c r="V77" i="30"/>
  <c r="T68" i="30"/>
  <c r="V61" i="30"/>
  <c r="V53" i="30"/>
  <c r="V126" i="30"/>
  <c r="V120" i="30"/>
  <c r="V116" i="30"/>
  <c r="V112" i="30"/>
  <c r="V100" i="30"/>
  <c r="V96" i="30"/>
  <c r="V88" i="30"/>
  <c r="V80" i="30"/>
  <c r="V76" i="30"/>
  <c r="V60" i="30"/>
  <c r="V52" i="30"/>
  <c r="Z12" i="30"/>
  <c r="V119" i="30"/>
  <c r="V115" i="30"/>
  <c r="V103" i="30"/>
  <c r="V99" i="30"/>
  <c r="V91" i="30"/>
  <c r="V75" i="30"/>
  <c r="V59" i="30"/>
  <c r="V51" i="30"/>
  <c r="V132" i="30"/>
  <c r="V122" i="30"/>
  <c r="V114" i="30"/>
  <c r="V102" i="30"/>
  <c r="V90" i="30"/>
  <c r="V74" i="30"/>
  <c r="V70" i="30"/>
  <c r="V66" i="30"/>
  <c r="V58" i="30"/>
  <c r="V50" i="30"/>
  <c r="V127" i="30"/>
  <c r="V121" i="30"/>
  <c r="V105" i="30"/>
  <c r="V101" i="30"/>
  <c r="V93" i="30"/>
  <c r="V85" i="30"/>
  <c r="V73" i="30"/>
  <c r="V65" i="30"/>
  <c r="V57" i="30"/>
  <c r="V124" i="30"/>
  <c r="V108" i="30"/>
  <c r="V104" i="30"/>
  <c r="V92" i="30"/>
  <c r="V84" i="30"/>
  <c r="V72" i="30"/>
  <c r="V64" i="30"/>
  <c r="V56" i="30"/>
  <c r="V71" i="30"/>
  <c r="V83" i="30"/>
  <c r="V55" i="30"/>
  <c r="V123" i="30"/>
  <c r="V87" i="30"/>
  <c r="V63" i="30"/>
  <c r="V107" i="30"/>
  <c r="V95" i="30"/>
  <c r="V79" i="30"/>
  <c r="V111" i="30"/>
  <c r="H27" i="28"/>
  <c r="N18" i="28"/>
  <c r="R111" i="30"/>
  <c r="R107" i="30"/>
  <c r="R104" i="30"/>
  <c r="R95" i="30"/>
  <c r="R92" i="30"/>
  <c r="R87" i="30"/>
  <c r="R83" i="30"/>
  <c r="R79" i="30"/>
  <c r="R63" i="30"/>
  <c r="R55" i="30"/>
  <c r="R123" i="30"/>
  <c r="R118" i="30"/>
  <c r="R110" i="30"/>
  <c r="R98" i="30"/>
  <c r="R82" i="30"/>
  <c r="R78" i="30"/>
  <c r="R71" i="30"/>
  <c r="R62" i="30"/>
  <c r="R54" i="30"/>
  <c r="R128" i="30"/>
  <c r="R117" i="30"/>
  <c r="R113" i="30"/>
  <c r="R106" i="30"/>
  <c r="R97" i="30"/>
  <c r="R94" i="30"/>
  <c r="R89" i="30"/>
  <c r="R86" i="30"/>
  <c r="R81" i="30"/>
  <c r="R77" i="30"/>
  <c r="R61" i="30"/>
  <c r="R53" i="30"/>
  <c r="R120" i="30"/>
  <c r="R116" i="30"/>
  <c r="R109" i="30"/>
  <c r="R100" i="30"/>
  <c r="R76" i="30"/>
  <c r="P68" i="30"/>
  <c r="R60" i="30"/>
  <c r="R52" i="30"/>
  <c r="X12" i="30"/>
  <c r="R126" i="30"/>
  <c r="R115" i="30"/>
  <c r="R112" i="30"/>
  <c r="R103" i="30"/>
  <c r="R96" i="30"/>
  <c r="R91" i="30"/>
  <c r="R88" i="30"/>
  <c r="R80" i="30"/>
  <c r="R75" i="30"/>
  <c r="R59" i="30"/>
  <c r="R51" i="30"/>
  <c r="R132" i="30"/>
  <c r="R122" i="30"/>
  <c r="R119" i="30"/>
  <c r="R102" i="30"/>
  <c r="R99" i="30"/>
  <c r="R74" i="30"/>
  <c r="R66" i="30"/>
  <c r="R58" i="30"/>
  <c r="R114" i="30"/>
  <c r="R105" i="30"/>
  <c r="R93" i="30"/>
  <c r="R90" i="30"/>
  <c r="R85" i="30"/>
  <c r="R73" i="30"/>
  <c r="R70" i="30"/>
  <c r="R65" i="30"/>
  <c r="R57" i="30"/>
  <c r="R50" i="30"/>
  <c r="R121" i="30"/>
  <c r="R108" i="30"/>
  <c r="R64" i="30"/>
  <c r="R101" i="30"/>
  <c r="R84" i="30"/>
  <c r="R56" i="30"/>
  <c r="R72" i="30"/>
  <c r="R127" i="30"/>
  <c r="R124" i="30"/>
  <c r="T27" i="19"/>
  <c r="X27" i="19" s="1"/>
  <c r="Z18" i="19"/>
  <c r="T27" i="11"/>
  <c r="X27" i="11" s="1"/>
  <c r="Z18" i="11"/>
  <c r="X18" i="5"/>
  <c r="P27" i="5"/>
  <c r="X18" i="8"/>
  <c r="P27" i="8"/>
  <c r="H184" i="15"/>
  <c r="T81" i="9"/>
  <c r="Z77" i="9"/>
  <c r="T221" i="3"/>
  <c r="Z121" i="3"/>
  <c r="V121" i="3"/>
  <c r="P58" i="78"/>
  <c r="J87" i="77"/>
  <c r="J70" i="77"/>
  <c r="J64" i="77"/>
  <c r="J56" i="77"/>
  <c r="J48" i="77"/>
  <c r="J44" i="77"/>
  <c r="J38" i="77"/>
  <c r="N12" i="77"/>
  <c r="J83" i="77"/>
  <c r="J79" i="77"/>
  <c r="J61" i="77"/>
  <c r="J53" i="77"/>
  <c r="J43" i="77"/>
  <c r="J76" i="77"/>
  <c r="J72" i="77"/>
  <c r="J66" i="77"/>
  <c r="J58" i="77"/>
  <c r="J42" i="77"/>
  <c r="H35" i="77"/>
  <c r="J35" i="77" s="1"/>
  <c r="J81" i="77"/>
  <c r="J69" i="77"/>
  <c r="J63" i="77"/>
  <c r="J55" i="77"/>
  <c r="J47" i="77"/>
  <c r="J41" i="77"/>
  <c r="J33" i="77"/>
  <c r="J78" i="77"/>
  <c r="J68" i="77"/>
  <c r="J60" i="77"/>
  <c r="J52" i="77"/>
  <c r="J40" i="77"/>
  <c r="J75" i="77"/>
  <c r="J71" i="77"/>
  <c r="J65" i="77"/>
  <c r="J57" i="77"/>
  <c r="J51" i="77"/>
  <c r="J39" i="77"/>
  <c r="J37" i="77"/>
  <c r="J80" i="77"/>
  <c r="J74" i="77"/>
  <c r="J62" i="77"/>
  <c r="J54" i="77"/>
  <c r="J50" i="77"/>
  <c r="J46" i="77"/>
  <c r="J32" i="77"/>
  <c r="J73" i="77"/>
  <c r="J77" i="77"/>
  <c r="J59" i="77"/>
  <c r="J49" i="77"/>
  <c r="J45" i="77"/>
  <c r="J67" i="77"/>
  <c r="F45" i="67"/>
  <c r="F39" i="67"/>
  <c r="F26" i="67"/>
  <c r="D20" i="67"/>
  <c r="F43" i="67"/>
  <c r="F37" i="67"/>
  <c r="F32" i="67"/>
  <c r="F25" i="67"/>
  <c r="F24" i="67"/>
  <c r="F34" i="67"/>
  <c r="F31" i="67"/>
  <c r="F22" i="67"/>
  <c r="F18" i="67"/>
  <c r="F48" i="67"/>
  <c r="F41" i="67"/>
  <c r="F30" i="67"/>
  <c r="F36" i="67"/>
  <c r="F33" i="67"/>
  <c r="F29" i="67"/>
  <c r="F35" i="67"/>
  <c r="F23" i="67"/>
  <c r="F27" i="67"/>
  <c r="F20" i="67"/>
  <c r="L12" i="67"/>
  <c r="F28" i="67"/>
  <c r="P53" i="57"/>
  <c r="X16" i="57"/>
  <c r="D31" i="43"/>
  <c r="J68" i="21"/>
  <c r="J61" i="21"/>
  <c r="J65" i="21"/>
  <c r="J63" i="21"/>
  <c r="J52" i="21"/>
  <c r="J46" i="21"/>
  <c r="J32" i="21"/>
  <c r="J18" i="21"/>
  <c r="J55" i="21"/>
  <c r="J43" i="21"/>
  <c r="J37" i="21"/>
  <c r="J31" i="21"/>
  <c r="J48" i="21"/>
  <c r="J40" i="21"/>
  <c r="J34" i="21"/>
  <c r="J30" i="21"/>
  <c r="J24" i="21"/>
  <c r="J51" i="21"/>
  <c r="J45" i="21"/>
  <c r="J29" i="21"/>
  <c r="J21" i="21"/>
  <c r="J59" i="21"/>
  <c r="J57" i="21"/>
  <c r="J54" i="21"/>
  <c r="J42" i="21"/>
  <c r="J36" i="21"/>
  <c r="J28" i="21"/>
  <c r="H21" i="21"/>
  <c r="L21" i="21" s="1"/>
  <c r="N12" i="21"/>
  <c r="J47" i="21"/>
  <c r="J39" i="21"/>
  <c r="J33" i="21"/>
  <c r="J27" i="21"/>
  <c r="J19" i="21"/>
  <c r="J56" i="21"/>
  <c r="J50" i="21"/>
  <c r="J44" i="21"/>
  <c r="J38" i="21"/>
  <c r="J26" i="21"/>
  <c r="J35" i="21"/>
  <c r="J49" i="21"/>
  <c r="J41" i="21"/>
  <c r="J25" i="21"/>
  <c r="J53" i="21"/>
  <c r="J23" i="21"/>
  <c r="X18" i="14"/>
  <c r="P27" i="14"/>
  <c r="H22" i="6"/>
  <c r="N16" i="6"/>
  <c r="P24" i="91"/>
  <c r="X16" i="91"/>
  <c r="H27" i="98"/>
  <c r="N18" i="98"/>
  <c r="Z18" i="96"/>
  <c r="T27" i="96"/>
  <c r="Z16" i="93"/>
  <c r="T51" i="93"/>
  <c r="Z16" i="94"/>
  <c r="T24" i="94"/>
  <c r="Z27" i="97"/>
  <c r="T31" i="97"/>
  <c r="X16" i="93"/>
  <c r="L20" i="94"/>
  <c r="Z20" i="94"/>
  <c r="L16" i="89"/>
  <c r="D41" i="89"/>
  <c r="V17" i="83"/>
  <c r="Z74" i="84"/>
  <c r="X74" i="84"/>
  <c r="H29" i="86"/>
  <c r="N16" i="86"/>
  <c r="H34" i="83"/>
  <c r="D30" i="79"/>
  <c r="L16" i="79"/>
  <c r="D36" i="82"/>
  <c r="L16" i="82"/>
  <c r="H44" i="73"/>
  <c r="N16" i="73"/>
  <c r="Z81" i="71"/>
  <c r="R30" i="67"/>
  <c r="R23" i="67"/>
  <c r="R33" i="67"/>
  <c r="R29" i="67"/>
  <c r="R20" i="67"/>
  <c r="R45" i="67"/>
  <c r="R39" i="67"/>
  <c r="R28" i="67"/>
  <c r="P20" i="67"/>
  <c r="X12" i="67"/>
  <c r="R35" i="67"/>
  <c r="R32" i="67"/>
  <c r="R27" i="67"/>
  <c r="R26" i="67"/>
  <c r="R43" i="67"/>
  <c r="R37" i="67"/>
  <c r="R34" i="67"/>
  <c r="R25" i="67"/>
  <c r="R22" i="67"/>
  <c r="R18" i="67"/>
  <c r="R48" i="67"/>
  <c r="R36" i="67"/>
  <c r="R24" i="67"/>
  <c r="R41" i="67"/>
  <c r="R31" i="67"/>
  <c r="P31" i="65"/>
  <c r="X16" i="65"/>
  <c r="D57" i="58"/>
  <c r="L16" i="58"/>
  <c r="X16" i="60"/>
  <c r="L16" i="55"/>
  <c r="D28" i="55"/>
  <c r="H85" i="62"/>
  <c r="N16" i="62"/>
  <c r="H52" i="59"/>
  <c r="T38" i="63"/>
  <c r="P32" i="55"/>
  <c r="X28" i="55"/>
  <c r="Z28" i="55" s="1"/>
  <c r="D27" i="53"/>
  <c r="L18" i="53"/>
  <c r="T27" i="50"/>
  <c r="Z18" i="50"/>
  <c r="H57" i="57"/>
  <c r="L18" i="41"/>
  <c r="D27" i="41"/>
  <c r="L18" i="52"/>
  <c r="D27" i="52"/>
  <c r="H27" i="44"/>
  <c r="N18" i="44"/>
  <c r="Z85" i="39"/>
  <c r="J87" i="39"/>
  <c r="J79" i="39"/>
  <c r="J75" i="39"/>
  <c r="J71" i="39"/>
  <c r="J67" i="39"/>
  <c r="J63" i="39"/>
  <c r="J55" i="39"/>
  <c r="J49" i="39"/>
  <c r="J39" i="39"/>
  <c r="J35" i="39"/>
  <c r="J21" i="39"/>
  <c r="J74" i="39"/>
  <c r="J66" i="39"/>
  <c r="J60" i="39"/>
  <c r="J52" i="39"/>
  <c r="J46" i="39"/>
  <c r="J38" i="39"/>
  <c r="J34" i="39"/>
  <c r="J28" i="39"/>
  <c r="J85" i="39"/>
  <c r="J81" i="39"/>
  <c r="J73" i="39"/>
  <c r="J57" i="39"/>
  <c r="J43" i="39"/>
  <c r="J33" i="39"/>
  <c r="J88" i="39"/>
  <c r="J78" i="39"/>
  <c r="J70" i="39"/>
  <c r="J62" i="39"/>
  <c r="J54" i="39"/>
  <c r="J48" i="39"/>
  <c r="J32" i="39"/>
  <c r="J83" i="39"/>
  <c r="J65" i="39"/>
  <c r="J59" i="39"/>
  <c r="J51" i="39"/>
  <c r="J45" i="39"/>
  <c r="J37" i="39"/>
  <c r="J31" i="39"/>
  <c r="J23" i="39"/>
  <c r="J92" i="39"/>
  <c r="J86" i="39"/>
  <c r="J80" i="39"/>
  <c r="J72" i="39"/>
  <c r="J56" i="39"/>
  <c r="J50" i="39"/>
  <c r="J42" i="39"/>
  <c r="J30" i="39"/>
  <c r="J22" i="39"/>
  <c r="J77" i="39"/>
  <c r="J69" i="39"/>
  <c r="J61" i="39"/>
  <c r="J53" i="39"/>
  <c r="J47" i="39"/>
  <c r="J64" i="39"/>
  <c r="J41" i="39"/>
  <c r="J29" i="39"/>
  <c r="J58" i="39"/>
  <c r="J82" i="39"/>
  <c r="J36" i="39"/>
  <c r="J44" i="39"/>
  <c r="H25" i="39"/>
  <c r="J76" i="39"/>
  <c r="J40" i="39"/>
  <c r="J27" i="39"/>
  <c r="J68" i="39"/>
  <c r="N12" i="39"/>
  <c r="L18" i="35"/>
  <c r="D27" i="35"/>
  <c r="L18" i="43"/>
  <c r="J21" i="42"/>
  <c r="N27" i="41"/>
  <c r="H31" i="41"/>
  <c r="T90" i="39"/>
  <c r="H27" i="35"/>
  <c r="N18" i="35"/>
  <c r="J23" i="36"/>
  <c r="X18" i="29"/>
  <c r="P27" i="29"/>
  <c r="T27" i="22"/>
  <c r="Z18" i="22"/>
  <c r="T27" i="31"/>
  <c r="X27" i="31" s="1"/>
  <c r="Z18" i="31"/>
  <c r="F45" i="24"/>
  <c r="F29" i="24"/>
  <c r="F59" i="24"/>
  <c r="F52" i="24"/>
  <c r="F41" i="24"/>
  <c r="F36" i="24"/>
  <c r="F33" i="24"/>
  <c r="F47" i="24"/>
  <c r="F44" i="24"/>
  <c r="F23" i="24"/>
  <c r="L12" i="24"/>
  <c r="F43" i="24"/>
  <c r="F38" i="24"/>
  <c r="F35" i="24"/>
  <c r="F30" i="24"/>
  <c r="F46" i="24"/>
  <c r="F27" i="24"/>
  <c r="F56" i="24"/>
  <c r="F50" i="24"/>
  <c r="F40" i="24"/>
  <c r="F37" i="24"/>
  <c r="F32" i="24"/>
  <c r="D27" i="24"/>
  <c r="F25" i="24"/>
  <c r="F54" i="24"/>
  <c r="F48" i="24"/>
  <c r="F24" i="24"/>
  <c r="F39" i="24"/>
  <c r="F34" i="24"/>
  <c r="F31" i="24"/>
  <c r="F42" i="24"/>
  <c r="P31" i="19"/>
  <c r="L18" i="19"/>
  <c r="D27" i="19"/>
  <c r="N179" i="15"/>
  <c r="V169" i="12"/>
  <c r="V141" i="12"/>
  <c r="V129" i="12"/>
  <c r="V117" i="12"/>
  <c r="V113" i="12"/>
  <c r="V101" i="12"/>
  <c r="V97" i="12"/>
  <c r="V93" i="12"/>
  <c r="V85" i="12"/>
  <c r="V77" i="12"/>
  <c r="V69" i="12"/>
  <c r="V182" i="12"/>
  <c r="V172" i="12"/>
  <c r="V168" i="12"/>
  <c r="V144" i="12"/>
  <c r="V140" i="12"/>
  <c r="V132" i="12"/>
  <c r="V120" i="12"/>
  <c r="V112" i="12"/>
  <c r="V108" i="12"/>
  <c r="V100" i="12"/>
  <c r="V92" i="12"/>
  <c r="V84" i="12"/>
  <c r="V76" i="12"/>
  <c r="V68" i="12"/>
  <c r="Z12" i="12"/>
  <c r="V185" i="12"/>
  <c r="V171" i="12"/>
  <c r="V167" i="12"/>
  <c r="V159" i="12"/>
  <c r="V143" i="12"/>
  <c r="V135" i="12"/>
  <c r="V131" i="12"/>
  <c r="V119" i="12"/>
  <c r="V111" i="12"/>
  <c r="V107" i="12"/>
  <c r="V99" i="12"/>
  <c r="V91" i="12"/>
  <c r="V83" i="12"/>
  <c r="V75" i="12"/>
  <c r="V67" i="12"/>
  <c r="V178" i="12"/>
  <c r="V174" i="12"/>
  <c r="V170" i="12"/>
  <c r="V166" i="12"/>
  <c r="V162" i="12"/>
  <c r="V158" i="12"/>
  <c r="V154" i="12"/>
  <c r="V150" i="12"/>
  <c r="V146" i="12"/>
  <c r="V142" i="12"/>
  <c r="V134" i="12"/>
  <c r="V122" i="12"/>
  <c r="V110" i="12"/>
  <c r="V106" i="12"/>
  <c r="V98" i="12"/>
  <c r="V90" i="12"/>
  <c r="V82" i="12"/>
  <c r="V74" i="12"/>
  <c r="V66" i="12"/>
  <c r="V183" i="12"/>
  <c r="V177" i="12"/>
  <c r="V173" i="12"/>
  <c r="V165" i="12"/>
  <c r="V161" i="12"/>
  <c r="V157" i="12"/>
  <c r="V153" i="12"/>
  <c r="V149" i="12"/>
  <c r="V145" i="12"/>
  <c r="V137" i="12"/>
  <c r="V133" i="12"/>
  <c r="V125" i="12"/>
  <c r="V121" i="12"/>
  <c r="V109" i="12"/>
  <c r="V105" i="12"/>
  <c r="V89" i="12"/>
  <c r="V81" i="12"/>
  <c r="V73" i="12"/>
  <c r="V65" i="12"/>
  <c r="V180" i="12"/>
  <c r="V176" i="12"/>
  <c r="V164" i="12"/>
  <c r="V160" i="12"/>
  <c r="V156" i="12"/>
  <c r="V152" i="12"/>
  <c r="V148" i="12"/>
  <c r="V136" i="12"/>
  <c r="V128" i="12"/>
  <c r="V124" i="12"/>
  <c r="V116" i="12"/>
  <c r="V104" i="12"/>
  <c r="T95" i="12"/>
  <c r="V88" i="12"/>
  <c r="V80" i="12"/>
  <c r="V72" i="12"/>
  <c r="V64" i="12"/>
  <c r="V189" i="12"/>
  <c r="V179" i="12"/>
  <c r="V175" i="12"/>
  <c r="V163" i="12"/>
  <c r="V155" i="12"/>
  <c r="V151" i="12"/>
  <c r="V147" i="12"/>
  <c r="V139" i="12"/>
  <c r="V127" i="12"/>
  <c r="V123" i="12"/>
  <c r="V115" i="12"/>
  <c r="V103" i="12"/>
  <c r="V87" i="12"/>
  <c r="V79" i="12"/>
  <c r="V71" i="12"/>
  <c r="V130" i="12"/>
  <c r="V70" i="12"/>
  <c r="V118" i="12"/>
  <c r="V184" i="12"/>
  <c r="V126" i="12"/>
  <c r="V102" i="12"/>
  <c r="V138" i="12"/>
  <c r="V114" i="12"/>
  <c r="V86" i="12"/>
  <c r="V78" i="12"/>
  <c r="H27" i="10"/>
  <c r="L27" i="10" s="1"/>
  <c r="N18" i="10"/>
  <c r="L18" i="11"/>
  <c r="D27" i="11"/>
  <c r="T27" i="7"/>
  <c r="Z18" i="7"/>
  <c r="P84" i="9"/>
  <c r="N199" i="18"/>
  <c r="P27" i="7"/>
  <c r="X18" i="7"/>
  <c r="F182" i="15"/>
  <c r="F177" i="15"/>
  <c r="F173" i="15"/>
  <c r="F161" i="15"/>
  <c r="F153" i="15"/>
  <c r="F149" i="15"/>
  <c r="F145" i="15"/>
  <c r="F133" i="15"/>
  <c r="F128" i="15"/>
  <c r="F121" i="15"/>
  <c r="F116" i="15"/>
  <c r="F109" i="15"/>
  <c r="F186" i="15"/>
  <c r="F167" i="15"/>
  <c r="F139" i="15"/>
  <c r="F136" i="15"/>
  <c r="F124" i="15"/>
  <c r="F180" i="15"/>
  <c r="F170" i="15"/>
  <c r="F142" i="15"/>
  <c r="F130" i="15"/>
  <c r="F127" i="15"/>
  <c r="F123" i="15"/>
  <c r="F118" i="15"/>
  <c r="F166" i="15"/>
  <c r="F157" i="15"/>
  <c r="F138" i="15"/>
  <c r="F126" i="15"/>
  <c r="F176" i="15"/>
  <c r="F172" i="15"/>
  <c r="F169" i="15"/>
  <c r="F165" i="15"/>
  <c r="F160" i="15"/>
  <c r="F152" i="15"/>
  <c r="F148" i="15"/>
  <c r="F144" i="15"/>
  <c r="F141" i="15"/>
  <c r="F132" i="15"/>
  <c r="F129" i="15"/>
  <c r="F120" i="15"/>
  <c r="F117" i="15"/>
  <c r="F181" i="15"/>
  <c r="F168" i="15"/>
  <c r="F164" i="15"/>
  <c r="F156" i="15"/>
  <c r="F140" i="15"/>
  <c r="F135" i="15"/>
  <c r="F112" i="15"/>
  <c r="F175" i="15"/>
  <c r="F171" i="15"/>
  <c r="F163" i="15"/>
  <c r="F159" i="15"/>
  <c r="F155" i="15"/>
  <c r="F151" i="15"/>
  <c r="F147" i="15"/>
  <c r="F143" i="15"/>
  <c r="F131" i="15"/>
  <c r="F122" i="15"/>
  <c r="F162" i="15"/>
  <c r="F119" i="15"/>
  <c r="F107" i="15"/>
  <c r="F98" i="15"/>
  <c r="F90" i="15"/>
  <c r="F82" i="15"/>
  <c r="F74" i="15"/>
  <c r="F66" i="15"/>
  <c r="F154" i="15"/>
  <c r="F146" i="15"/>
  <c r="F113" i="15"/>
  <c r="F106" i="15"/>
  <c r="F105" i="15"/>
  <c r="F96" i="15"/>
  <c r="F89" i="15"/>
  <c r="F81" i="15"/>
  <c r="F73" i="15"/>
  <c r="F65" i="15"/>
  <c r="F104" i="15"/>
  <c r="F88" i="15"/>
  <c r="F80" i="15"/>
  <c r="F72" i="15"/>
  <c r="F137" i="15"/>
  <c r="F134" i="15"/>
  <c r="F115" i="15"/>
  <c r="F114" i="15"/>
  <c r="F103" i="15"/>
  <c r="F87" i="15"/>
  <c r="F79" i="15"/>
  <c r="F71" i="15"/>
  <c r="F158" i="15"/>
  <c r="F125" i="15"/>
  <c r="F102" i="15"/>
  <c r="F97" i="15"/>
  <c r="F86" i="15"/>
  <c r="F78" i="15"/>
  <c r="F70" i="15"/>
  <c r="F179" i="15"/>
  <c r="F150" i="15"/>
  <c r="F101" i="15"/>
  <c r="F85" i="15"/>
  <c r="F77" i="15"/>
  <c r="F69" i="15"/>
  <c r="F64" i="15"/>
  <c r="F174" i="15"/>
  <c r="F111" i="15"/>
  <c r="F100" i="15"/>
  <c r="D94" i="15"/>
  <c r="F92" i="15"/>
  <c r="F84" i="15"/>
  <c r="F76" i="15"/>
  <c r="F68" i="15"/>
  <c r="L12" i="15"/>
  <c r="N12" i="15" s="1"/>
  <c r="F110" i="15"/>
  <c r="F108" i="15"/>
  <c r="F83" i="15"/>
  <c r="F99" i="15"/>
  <c r="F91" i="15"/>
  <c r="F67" i="15"/>
  <c r="F75" i="15"/>
  <c r="P31" i="11"/>
  <c r="H36" i="20"/>
  <c r="N36" i="20" s="1"/>
  <c r="N31" i="20"/>
  <c r="J94" i="15"/>
  <c r="T36" i="4"/>
  <c r="Z36" i="4" s="1"/>
  <c r="Z31" i="4"/>
  <c r="N17" i="76"/>
  <c r="H48" i="76"/>
  <c r="D41" i="63"/>
  <c r="X16" i="59"/>
  <c r="P48" i="59"/>
  <c r="L18" i="46"/>
  <c r="D27" i="46"/>
  <c r="X87" i="36"/>
  <c r="Z87" i="36" s="1"/>
  <c r="H27" i="16"/>
  <c r="N18" i="16"/>
  <c r="X18" i="17"/>
  <c r="P27" i="17"/>
  <c r="Z27" i="13"/>
  <c r="T31" i="13"/>
  <c r="N212" i="3"/>
  <c r="H27" i="4"/>
  <c r="L27" i="4" s="1"/>
  <c r="N18" i="4"/>
  <c r="T50" i="95"/>
  <c r="Z17" i="95"/>
  <c r="P24" i="94"/>
  <c r="X16" i="94"/>
  <c r="F43" i="95"/>
  <c r="F38" i="95"/>
  <c r="F35" i="95"/>
  <c r="F47" i="95"/>
  <c r="F45" i="95"/>
  <c r="F40" i="95"/>
  <c r="F37" i="95"/>
  <c r="F25" i="95"/>
  <c r="F20" i="95"/>
  <c r="F52" i="95"/>
  <c r="F34" i="95"/>
  <c r="F32" i="95"/>
  <c r="F33" i="95"/>
  <c r="F31" i="95"/>
  <c r="F30" i="95"/>
  <c r="F44" i="95"/>
  <c r="F42" i="95"/>
  <c r="F41" i="95"/>
  <c r="F39" i="95"/>
  <c r="D17" i="95"/>
  <c r="F17" i="95" s="1"/>
  <c r="F48" i="95"/>
  <c r="F29" i="95"/>
  <c r="F28" i="95"/>
  <c r="F36" i="95"/>
  <c r="F27" i="95"/>
  <c r="F26" i="95"/>
  <c r="F24" i="95"/>
  <c r="F19" i="95"/>
  <c r="F15" i="95"/>
  <c r="L12" i="95"/>
  <c r="N12" i="95" s="1"/>
  <c r="F23" i="95"/>
  <c r="F21" i="95"/>
  <c r="F22" i="95"/>
  <c r="T67" i="92"/>
  <c r="Z21" i="92"/>
  <c r="H28" i="91"/>
  <c r="N24" i="91"/>
  <c r="Z16" i="86"/>
  <c r="T29" i="86"/>
  <c r="D31" i="91"/>
  <c r="X16" i="87"/>
  <c r="P28" i="87"/>
  <c r="D53" i="85"/>
  <c r="L16" i="85"/>
  <c r="D77" i="84"/>
  <c r="L20" i="84"/>
  <c r="X12" i="84"/>
  <c r="N56" i="80"/>
  <c r="L16" i="78"/>
  <c r="D51" i="78"/>
  <c r="T55" i="78"/>
  <c r="Z51" i="78"/>
  <c r="P48" i="73"/>
  <c r="X44" i="73"/>
  <c r="Z44" i="73" s="1"/>
  <c r="T51" i="73"/>
  <c r="V45" i="67"/>
  <c r="V39" i="67"/>
  <c r="V33" i="67"/>
  <c r="V29" i="67"/>
  <c r="T20" i="67"/>
  <c r="V32" i="67"/>
  <c r="V28" i="67"/>
  <c r="Z12" i="67"/>
  <c r="V35" i="67"/>
  <c r="V27" i="67"/>
  <c r="V34" i="67"/>
  <c r="V26" i="67"/>
  <c r="V22" i="67"/>
  <c r="V18" i="67"/>
  <c r="V48" i="67"/>
  <c r="V43" i="67"/>
  <c r="V41" i="67"/>
  <c r="V37" i="67"/>
  <c r="V25" i="67"/>
  <c r="V36" i="67"/>
  <c r="V24" i="67"/>
  <c r="V20" i="67"/>
  <c r="V30" i="67"/>
  <c r="V23" i="67"/>
  <c r="V31" i="67"/>
  <c r="X12" i="77"/>
  <c r="Z12" i="77" s="1"/>
  <c r="H36" i="64"/>
  <c r="N17" i="64"/>
  <c r="J57" i="70"/>
  <c r="J53" i="70"/>
  <c r="J49" i="70"/>
  <c r="J37" i="70"/>
  <c r="J33" i="70"/>
  <c r="J60" i="70"/>
  <c r="J52" i="70"/>
  <c r="J42" i="70"/>
  <c r="J36" i="70"/>
  <c r="J32" i="70"/>
  <c r="J26" i="70"/>
  <c r="J51" i="70"/>
  <c r="J45" i="70"/>
  <c r="J39" i="70"/>
  <c r="J31" i="70"/>
  <c r="J23" i="70"/>
  <c r="J64" i="70"/>
  <c r="J56" i="70"/>
  <c r="J48" i="70"/>
  <c r="J30" i="70"/>
  <c r="H23" i="70"/>
  <c r="J41" i="70"/>
  <c r="J35" i="70"/>
  <c r="J29" i="70"/>
  <c r="J50" i="70"/>
  <c r="J44" i="70"/>
  <c r="J38" i="70"/>
  <c r="J28" i="70"/>
  <c r="N12" i="70"/>
  <c r="J55" i="70"/>
  <c r="J47" i="70"/>
  <c r="J25" i="70"/>
  <c r="J40" i="70"/>
  <c r="J21" i="70"/>
  <c r="J27" i="70"/>
  <c r="J54" i="70"/>
  <c r="J34" i="70"/>
  <c r="J43" i="70"/>
  <c r="J46" i="70"/>
  <c r="J59" i="70"/>
  <c r="N16" i="63"/>
  <c r="H34" i="63"/>
  <c r="L18" i="50"/>
  <c r="D27" i="50"/>
  <c r="T27" i="46"/>
  <c r="Z18" i="46"/>
  <c r="T31" i="53"/>
  <c r="Z27" i="53"/>
  <c r="V81" i="51"/>
  <c r="V71" i="51"/>
  <c r="V67" i="51"/>
  <c r="V59" i="51"/>
  <c r="V55" i="51"/>
  <c r="V47" i="51"/>
  <c r="V39" i="51"/>
  <c r="V84" i="51"/>
  <c r="V70" i="51"/>
  <c r="V62" i="51"/>
  <c r="V58" i="51"/>
  <c r="V54" i="51"/>
  <c r="V44" i="51"/>
  <c r="V38" i="51"/>
  <c r="V77" i="51"/>
  <c r="V73" i="51"/>
  <c r="V61" i="51"/>
  <c r="V57" i="51"/>
  <c r="V53" i="51"/>
  <c r="T44" i="51"/>
  <c r="V37" i="51"/>
  <c r="V82" i="51"/>
  <c r="V76" i="51"/>
  <c r="V72" i="51"/>
  <c r="V64" i="51"/>
  <c r="V52" i="51"/>
  <c r="V36" i="51"/>
  <c r="Z12" i="51"/>
  <c r="V79" i="51"/>
  <c r="V75" i="51"/>
  <c r="V63" i="51"/>
  <c r="V51" i="51"/>
  <c r="V35" i="51"/>
  <c r="V88" i="51"/>
  <c r="V78" i="51"/>
  <c r="V74" i="51"/>
  <c r="V66" i="51"/>
  <c r="V50" i="51"/>
  <c r="V46" i="51"/>
  <c r="V42" i="51"/>
  <c r="V34" i="51"/>
  <c r="V83" i="51"/>
  <c r="V69" i="51"/>
  <c r="V65" i="51"/>
  <c r="V49" i="51"/>
  <c r="V41" i="51"/>
  <c r="V33" i="51"/>
  <c r="V68" i="51"/>
  <c r="V40" i="51"/>
  <c r="V60" i="51"/>
  <c r="V56" i="51"/>
  <c r="V48" i="51"/>
  <c r="V32" i="51"/>
  <c r="N85" i="39"/>
  <c r="X81" i="42"/>
  <c r="Z27" i="47"/>
  <c r="T31" i="47"/>
  <c r="R81" i="42"/>
  <c r="L85" i="39"/>
  <c r="P90" i="39"/>
  <c r="X25" i="39"/>
  <c r="Z25" i="39" s="1"/>
  <c r="P31" i="38"/>
  <c r="F21" i="45"/>
  <c r="T27" i="38"/>
  <c r="Z18" i="38"/>
  <c r="P31" i="44"/>
  <c r="T27" i="37"/>
  <c r="Z18" i="37"/>
  <c r="L81" i="42"/>
  <c r="N81" i="42" s="1"/>
  <c r="V87" i="36"/>
  <c r="T27" i="28"/>
  <c r="Z18" i="28"/>
  <c r="H27" i="22"/>
  <c r="N18" i="22"/>
  <c r="D27" i="22"/>
  <c r="L18" i="22"/>
  <c r="T36" i="34"/>
  <c r="Z36" i="34" s="1"/>
  <c r="Z31" i="34"/>
  <c r="Z93" i="27"/>
  <c r="R46" i="24"/>
  <c r="R42" i="24"/>
  <c r="R37" i="24"/>
  <c r="R34" i="24"/>
  <c r="R25" i="24"/>
  <c r="R54" i="24"/>
  <c r="R48" i="24"/>
  <c r="R45" i="24"/>
  <c r="R29" i="24"/>
  <c r="R24" i="24"/>
  <c r="R59" i="24"/>
  <c r="R52" i="24"/>
  <c r="R39" i="24"/>
  <c r="R36" i="24"/>
  <c r="R31" i="24"/>
  <c r="R47" i="24"/>
  <c r="R23" i="24"/>
  <c r="R41" i="24"/>
  <c r="R38" i="24"/>
  <c r="R33" i="24"/>
  <c r="R30" i="24"/>
  <c r="R44" i="24"/>
  <c r="R27" i="24"/>
  <c r="X12" i="24"/>
  <c r="R56" i="24"/>
  <c r="R50" i="24"/>
  <c r="R35" i="24"/>
  <c r="R40" i="24"/>
  <c r="P27" i="24"/>
  <c r="R32" i="24"/>
  <c r="R43" i="24"/>
  <c r="N126" i="30"/>
  <c r="P31" i="23"/>
  <c r="H27" i="19"/>
  <c r="N18" i="19"/>
  <c r="H27" i="13"/>
  <c r="L27" i="13" s="1"/>
  <c r="N18" i="13"/>
  <c r="L16" i="6"/>
  <c r="D31" i="13"/>
  <c r="X18" i="11"/>
  <c r="D31" i="8"/>
  <c r="H27" i="5"/>
  <c r="N18" i="5"/>
  <c r="P22" i="6"/>
  <c r="X16" i="6"/>
  <c r="T31" i="6"/>
  <c r="Z26" i="6"/>
  <c r="L27" i="96" l="1"/>
  <c r="H31" i="49"/>
  <c r="H36" i="49" s="1"/>
  <c r="N36" i="49" s="1"/>
  <c r="X27" i="10"/>
  <c r="P31" i="13"/>
  <c r="X31" i="13" s="1"/>
  <c r="L31" i="96"/>
  <c r="T36" i="8"/>
  <c r="Z36" i="8" s="1"/>
  <c r="H36" i="17"/>
  <c r="N36" i="17" s="1"/>
  <c r="N31" i="17"/>
  <c r="H90" i="39"/>
  <c r="P35" i="55"/>
  <c r="X35" i="55" s="1"/>
  <c r="X32" i="55"/>
  <c r="Z32" i="55" s="1"/>
  <c r="H188" i="15"/>
  <c r="J184" i="15"/>
  <c r="L59" i="80"/>
  <c r="D63" i="80"/>
  <c r="H90" i="42"/>
  <c r="J86" i="42"/>
  <c r="Z27" i="14"/>
  <c r="T31" i="14"/>
  <c r="P101" i="66"/>
  <c r="R97" i="66"/>
  <c r="H69" i="90"/>
  <c r="J65" i="90"/>
  <c r="D52" i="59"/>
  <c r="L48" i="59"/>
  <c r="N48" i="59" s="1"/>
  <c r="P26" i="6"/>
  <c r="X22" i="6"/>
  <c r="H62" i="70"/>
  <c r="D55" i="78"/>
  <c r="L51" i="78"/>
  <c r="P32" i="87"/>
  <c r="X28" i="87"/>
  <c r="P28" i="94"/>
  <c r="X24" i="94"/>
  <c r="P31" i="17"/>
  <c r="X27" i="17"/>
  <c r="P52" i="59"/>
  <c r="X48" i="59"/>
  <c r="Z48" i="59" s="1"/>
  <c r="L27" i="24"/>
  <c r="D52" i="24"/>
  <c r="T31" i="31"/>
  <c r="X31" i="31" s="1"/>
  <c r="Z27" i="31"/>
  <c r="D34" i="79"/>
  <c r="L30" i="79"/>
  <c r="N30" i="79" s="1"/>
  <c r="D45" i="89"/>
  <c r="L41" i="89"/>
  <c r="T28" i="94"/>
  <c r="Z24" i="94"/>
  <c r="X27" i="8"/>
  <c r="P31" i="8"/>
  <c r="L27" i="23"/>
  <c r="D31" i="23"/>
  <c r="P64" i="58"/>
  <c r="H31" i="53"/>
  <c r="N27" i="53"/>
  <c r="N41" i="89"/>
  <c r="H45" i="89"/>
  <c r="D55" i="93"/>
  <c r="L51" i="93"/>
  <c r="N51" i="93" s="1"/>
  <c r="T36" i="10"/>
  <c r="Z36" i="10" s="1"/>
  <c r="Z31" i="10"/>
  <c r="H31" i="14"/>
  <c r="N27" i="14"/>
  <c r="Z27" i="23"/>
  <c r="T31" i="23"/>
  <c r="X31" i="23" s="1"/>
  <c r="L27" i="26"/>
  <c r="D31" i="26"/>
  <c r="P31" i="40"/>
  <c r="X27" i="40"/>
  <c r="X27" i="46"/>
  <c r="P31" i="46"/>
  <c r="L45" i="66"/>
  <c r="D97" i="66"/>
  <c r="D40" i="64"/>
  <c r="L36" i="64"/>
  <c r="H79" i="45"/>
  <c r="J75" i="45"/>
  <c r="H57" i="56"/>
  <c r="Z27" i="5"/>
  <c r="T31" i="5"/>
  <c r="T206" i="18"/>
  <c r="P31" i="26"/>
  <c r="X27" i="26"/>
  <c r="T65" i="33"/>
  <c r="X27" i="28"/>
  <c r="P31" i="28"/>
  <c r="T48" i="89"/>
  <c r="Z45" i="89"/>
  <c r="P31" i="54"/>
  <c r="T50" i="48"/>
  <c r="Z17" i="48"/>
  <c r="X17" i="48"/>
  <c r="V17" i="48"/>
  <c r="X48" i="89"/>
  <c r="P36" i="98"/>
  <c r="X31" i="98"/>
  <c r="H31" i="8"/>
  <c r="L31" i="8" s="1"/>
  <c r="N27" i="8"/>
  <c r="T31" i="52"/>
  <c r="Z27" i="52"/>
  <c r="V23" i="75"/>
  <c r="D36" i="4"/>
  <c r="P206" i="18"/>
  <c r="X114" i="18"/>
  <c r="Z114" i="18" s="1"/>
  <c r="D54" i="48"/>
  <c r="F50" i="48"/>
  <c r="D29" i="75"/>
  <c r="L23" i="75"/>
  <c r="N23" i="75" s="1"/>
  <c r="D85" i="77"/>
  <c r="L35" i="77"/>
  <c r="H47" i="61"/>
  <c r="N27" i="35"/>
  <c r="H31" i="35"/>
  <c r="T71" i="92"/>
  <c r="Z27" i="7"/>
  <c r="T31" i="7"/>
  <c r="T94" i="39"/>
  <c r="V90" i="39"/>
  <c r="H60" i="57"/>
  <c r="T41" i="63"/>
  <c r="J34" i="83"/>
  <c r="P28" i="91"/>
  <c r="X24" i="91"/>
  <c r="Z24" i="91" s="1"/>
  <c r="T130" i="30"/>
  <c r="P31" i="53"/>
  <c r="X27" i="53"/>
  <c r="T26" i="54"/>
  <c r="X26" i="54" s="1"/>
  <c r="Z22" i="54"/>
  <c r="P114" i="69"/>
  <c r="X68" i="69"/>
  <c r="Z27" i="25"/>
  <c r="T31" i="25"/>
  <c r="P31" i="34"/>
  <c r="X27" i="34"/>
  <c r="N27" i="50"/>
  <c r="H31" i="50"/>
  <c r="D89" i="62"/>
  <c r="L85" i="62"/>
  <c r="H63" i="80"/>
  <c r="N59" i="80"/>
  <c r="P34" i="79"/>
  <c r="X30" i="79"/>
  <c r="Z30" i="79" s="1"/>
  <c r="X27" i="83"/>
  <c r="P31" i="83"/>
  <c r="P225" i="3"/>
  <c r="X221" i="3"/>
  <c r="R221" i="3"/>
  <c r="L27" i="40"/>
  <c r="D31" i="40"/>
  <c r="H187" i="12"/>
  <c r="D36" i="10"/>
  <c r="D31" i="31"/>
  <c r="L27" i="31"/>
  <c r="X23" i="36"/>
  <c r="Z23" i="36" s="1"/>
  <c r="P92" i="36"/>
  <c r="H32" i="87"/>
  <c r="X94" i="15"/>
  <c r="P184" i="15"/>
  <c r="D65" i="21"/>
  <c r="H36" i="26"/>
  <c r="N36" i="26" s="1"/>
  <c r="N31" i="26"/>
  <c r="D79" i="45"/>
  <c r="L75" i="45"/>
  <c r="N75" i="45" s="1"/>
  <c r="F75" i="45"/>
  <c r="D44" i="60"/>
  <c r="L40" i="60"/>
  <c r="T97" i="66"/>
  <c r="X97" i="66" s="1"/>
  <c r="D86" i="71"/>
  <c r="L44" i="71"/>
  <c r="D39" i="88"/>
  <c r="L35" i="88"/>
  <c r="N35" i="88" s="1"/>
  <c r="D31" i="20"/>
  <c r="L27" i="20"/>
  <c r="H52" i="24"/>
  <c r="N27" i="24"/>
  <c r="L53" i="56"/>
  <c r="N53" i="56" s="1"/>
  <c r="D57" i="56"/>
  <c r="P38" i="63"/>
  <c r="X34" i="63"/>
  <c r="Z34" i="63" s="1"/>
  <c r="T40" i="82"/>
  <c r="Z36" i="82"/>
  <c r="X36" i="82"/>
  <c r="D27" i="83"/>
  <c r="L17" i="83"/>
  <c r="N17" i="83" s="1"/>
  <c r="D32" i="87"/>
  <c r="L28" i="87"/>
  <c r="N28" i="87" s="1"/>
  <c r="Z31" i="98"/>
  <c r="T36" i="98"/>
  <c r="Z36" i="98" s="1"/>
  <c r="T56" i="24"/>
  <c r="T31" i="38"/>
  <c r="X31" i="38" s="1"/>
  <c r="Z27" i="38"/>
  <c r="H31" i="91"/>
  <c r="N27" i="98"/>
  <c r="H31" i="98"/>
  <c r="L31" i="98" s="1"/>
  <c r="Z27" i="19"/>
  <c r="T31" i="19"/>
  <c r="X31" i="19" s="1"/>
  <c r="D86" i="51"/>
  <c r="L44" i="51"/>
  <c r="X27" i="38"/>
  <c r="H31" i="5"/>
  <c r="N27" i="5"/>
  <c r="H31" i="13"/>
  <c r="L31" i="13" s="1"/>
  <c r="N27" i="13"/>
  <c r="X27" i="24"/>
  <c r="Z27" i="24" s="1"/>
  <c r="P52" i="24"/>
  <c r="P36" i="38"/>
  <c r="L31" i="91"/>
  <c r="T54" i="95"/>
  <c r="V50" i="95"/>
  <c r="X27" i="7"/>
  <c r="P31" i="7"/>
  <c r="D31" i="11"/>
  <c r="L27" i="11"/>
  <c r="T31" i="22"/>
  <c r="Z27" i="22"/>
  <c r="H36" i="41"/>
  <c r="N36" i="41" s="1"/>
  <c r="N31" i="41"/>
  <c r="H55" i="59"/>
  <c r="D61" i="58"/>
  <c r="L57" i="58"/>
  <c r="T55" i="93"/>
  <c r="Z51" i="93"/>
  <c r="X51" i="93"/>
  <c r="H85" i="77"/>
  <c r="N35" i="77"/>
  <c r="X27" i="5"/>
  <c r="P31" i="5"/>
  <c r="L27" i="25"/>
  <c r="D31" i="25"/>
  <c r="P66" i="80"/>
  <c r="D34" i="81"/>
  <c r="L30" i="81"/>
  <c r="N30" i="81" s="1"/>
  <c r="N31" i="97"/>
  <c r="H36" i="97"/>
  <c r="N36" i="97" s="1"/>
  <c r="T57" i="57"/>
  <c r="P36" i="10"/>
  <c r="X31" i="10"/>
  <c r="H31" i="11"/>
  <c r="N27" i="11"/>
  <c r="T31" i="16"/>
  <c r="Z27" i="16"/>
  <c r="D36" i="29"/>
  <c r="L36" i="29" s="1"/>
  <c r="L31" i="29"/>
  <c r="D90" i="42"/>
  <c r="L86" i="42"/>
  <c r="N86" i="42" s="1"/>
  <c r="F86" i="42"/>
  <c r="X27" i="50"/>
  <c r="P31" i="50"/>
  <c r="H32" i="55"/>
  <c r="H97" i="66"/>
  <c r="N45" i="66"/>
  <c r="Z59" i="80"/>
  <c r="T63" i="80"/>
  <c r="T77" i="84"/>
  <c r="Z20" i="84"/>
  <c r="P39" i="88"/>
  <c r="X35" i="88"/>
  <c r="D65" i="33"/>
  <c r="L25" i="33"/>
  <c r="N27" i="7"/>
  <c r="H31" i="7"/>
  <c r="L31" i="7" s="1"/>
  <c r="N27" i="38"/>
  <c r="H31" i="38"/>
  <c r="Z27" i="44"/>
  <c r="T31" i="44"/>
  <c r="X31" i="44" s="1"/>
  <c r="T86" i="71"/>
  <c r="T62" i="70"/>
  <c r="P54" i="95"/>
  <c r="X50" i="95"/>
  <c r="Z50" i="95" s="1"/>
  <c r="R50" i="95"/>
  <c r="P36" i="16"/>
  <c r="X31" i="16"/>
  <c r="H97" i="27"/>
  <c r="T96" i="36"/>
  <c r="V92" i="36"/>
  <c r="X27" i="47"/>
  <c r="P31" i="47"/>
  <c r="H44" i="60"/>
  <c r="N40" i="60"/>
  <c r="P65" i="90"/>
  <c r="X21" i="90"/>
  <c r="T31" i="32"/>
  <c r="Z27" i="32"/>
  <c r="L27" i="49"/>
  <c r="D31" i="49"/>
  <c r="F23" i="75"/>
  <c r="T32" i="87"/>
  <c r="Z28" i="87"/>
  <c r="P67" i="92"/>
  <c r="X21" i="92"/>
  <c r="D31" i="37"/>
  <c r="L27" i="37"/>
  <c r="T58" i="78"/>
  <c r="X58" i="78" s="1"/>
  <c r="Z55" i="78"/>
  <c r="X55" i="78"/>
  <c r="H31" i="31"/>
  <c r="N27" i="31"/>
  <c r="P81" i="84"/>
  <c r="X77" i="84"/>
  <c r="R77" i="84"/>
  <c r="T34" i="81"/>
  <c r="H38" i="63"/>
  <c r="L34" i="63"/>
  <c r="N34" i="63" s="1"/>
  <c r="D31" i="22"/>
  <c r="L27" i="22"/>
  <c r="T31" i="37"/>
  <c r="Z27" i="37"/>
  <c r="L28" i="91"/>
  <c r="N28" i="91" s="1"/>
  <c r="H31" i="16"/>
  <c r="N27" i="16"/>
  <c r="D184" i="15"/>
  <c r="L94" i="15"/>
  <c r="N94" i="15" s="1"/>
  <c r="F94" i="15"/>
  <c r="P36" i="13"/>
  <c r="X27" i="29"/>
  <c r="P31" i="29"/>
  <c r="H31" i="44"/>
  <c r="N27" i="44"/>
  <c r="Z27" i="50"/>
  <c r="T31" i="50"/>
  <c r="H26" i="6"/>
  <c r="N22" i="6"/>
  <c r="L22" i="6"/>
  <c r="D36" i="43"/>
  <c r="T225" i="3"/>
  <c r="Z221" i="3"/>
  <c r="V221" i="3"/>
  <c r="P130" i="30"/>
  <c r="X68" i="30"/>
  <c r="Z68" i="30" s="1"/>
  <c r="R68" i="30"/>
  <c r="N27" i="28"/>
  <c r="H31" i="28"/>
  <c r="V68" i="30"/>
  <c r="Z27" i="35"/>
  <c r="T31" i="35"/>
  <c r="X27" i="35"/>
  <c r="T65" i="90"/>
  <c r="Z21" i="90"/>
  <c r="H210" i="18"/>
  <c r="J206" i="18"/>
  <c r="H65" i="33"/>
  <c r="N25" i="33"/>
  <c r="J25" i="33"/>
  <c r="H96" i="36"/>
  <c r="J92" i="36"/>
  <c r="H50" i="48"/>
  <c r="L50" i="48" s="1"/>
  <c r="N17" i="48"/>
  <c r="N27" i="46"/>
  <c r="H31" i="46"/>
  <c r="P86" i="51"/>
  <c r="X44" i="51"/>
  <c r="T35" i="65"/>
  <c r="X48" i="76"/>
  <c r="P52" i="76"/>
  <c r="D41" i="74"/>
  <c r="L37" i="74"/>
  <c r="X27" i="97"/>
  <c r="P31" i="97"/>
  <c r="J95" i="12"/>
  <c r="H130" i="30"/>
  <c r="Z27" i="26"/>
  <c r="T31" i="26"/>
  <c r="D36" i="47"/>
  <c r="H86" i="51"/>
  <c r="N44" i="51"/>
  <c r="T90" i="42"/>
  <c r="V86" i="42"/>
  <c r="H38" i="65"/>
  <c r="P33" i="75"/>
  <c r="R29" i="75"/>
  <c r="H37" i="81"/>
  <c r="V82" i="45"/>
  <c r="H225" i="3"/>
  <c r="J221" i="3"/>
  <c r="X27" i="16"/>
  <c r="T184" i="15"/>
  <c r="Z94" i="15"/>
  <c r="Z35" i="55"/>
  <c r="D69" i="90"/>
  <c r="L65" i="90"/>
  <c r="N65" i="90" s="1"/>
  <c r="D221" i="3"/>
  <c r="L121" i="3"/>
  <c r="N121" i="3" s="1"/>
  <c r="H81" i="9"/>
  <c r="N27" i="23"/>
  <c r="H31" i="23"/>
  <c r="D57" i="57"/>
  <c r="L53" i="57"/>
  <c r="N53" i="57" s="1"/>
  <c r="H86" i="71"/>
  <c r="N44" i="71"/>
  <c r="P57" i="85"/>
  <c r="X53" i="85"/>
  <c r="H45" i="67"/>
  <c r="D57" i="85"/>
  <c r="L53" i="85"/>
  <c r="N53" i="85" s="1"/>
  <c r="N21" i="21"/>
  <c r="H61" i="21"/>
  <c r="H41" i="74"/>
  <c r="N37" i="74"/>
  <c r="D36" i="8"/>
  <c r="P36" i="44"/>
  <c r="Z31" i="53"/>
  <c r="T36" i="53"/>
  <c r="Z36" i="53" s="1"/>
  <c r="T33" i="86"/>
  <c r="X29" i="86"/>
  <c r="Z29" i="86" s="1"/>
  <c r="H31" i="4"/>
  <c r="N27" i="4"/>
  <c r="D31" i="19"/>
  <c r="L27" i="19"/>
  <c r="D31" i="52"/>
  <c r="L27" i="52"/>
  <c r="P35" i="65"/>
  <c r="X31" i="65"/>
  <c r="Z31" i="65" s="1"/>
  <c r="H48" i="73"/>
  <c r="H33" i="86"/>
  <c r="Z27" i="96"/>
  <c r="T31" i="96"/>
  <c r="X27" i="14"/>
  <c r="P31" i="14"/>
  <c r="L20" i="67"/>
  <c r="D41" i="67"/>
  <c r="P90" i="42"/>
  <c r="X86" i="42"/>
  <c r="Z86" i="42" s="1"/>
  <c r="R86" i="42"/>
  <c r="H31" i="52"/>
  <c r="N27" i="52"/>
  <c r="T47" i="61"/>
  <c r="D35" i="65"/>
  <c r="L31" i="65"/>
  <c r="N31" i="65" s="1"/>
  <c r="H114" i="69"/>
  <c r="N68" i="69"/>
  <c r="H40" i="82"/>
  <c r="H28" i="94"/>
  <c r="D36" i="97"/>
  <c r="L31" i="97"/>
  <c r="L68" i="69"/>
  <c r="D114" i="69"/>
  <c r="D31" i="5"/>
  <c r="L27" i="5"/>
  <c r="L95" i="12"/>
  <c r="N95" i="12" s="1"/>
  <c r="D187" i="12"/>
  <c r="T31" i="20"/>
  <c r="X31" i="20" s="1"/>
  <c r="Z27" i="20"/>
  <c r="D97" i="27"/>
  <c r="L45" i="27"/>
  <c r="N45" i="27" s="1"/>
  <c r="F45" i="27"/>
  <c r="T36" i="29"/>
  <c r="Z36" i="29" s="1"/>
  <c r="Z31" i="29"/>
  <c r="H31" i="37"/>
  <c r="N27" i="37"/>
  <c r="N27" i="40"/>
  <c r="H31" i="40"/>
  <c r="R23" i="36"/>
  <c r="P60" i="56"/>
  <c r="X60" i="56" s="1"/>
  <c r="Z60" i="56" s="1"/>
  <c r="X57" i="56"/>
  <c r="Z57" i="56" s="1"/>
  <c r="H54" i="95"/>
  <c r="J50" i="95"/>
  <c r="H58" i="93"/>
  <c r="T61" i="21"/>
  <c r="T44" i="60"/>
  <c r="Z40" i="60"/>
  <c r="P36" i="20"/>
  <c r="P65" i="33"/>
  <c r="X25" i="33"/>
  <c r="Z25" i="33" s="1"/>
  <c r="D36" i="32"/>
  <c r="P86" i="71"/>
  <c r="X44" i="71"/>
  <c r="Z44" i="71" s="1"/>
  <c r="D62" i="70"/>
  <c r="L23" i="70"/>
  <c r="N23" i="70" s="1"/>
  <c r="R114" i="18"/>
  <c r="N57" i="58"/>
  <c r="H61" i="58"/>
  <c r="P92" i="62"/>
  <c r="Z27" i="28"/>
  <c r="T31" i="28"/>
  <c r="H40" i="64"/>
  <c r="N36" i="64"/>
  <c r="P31" i="32"/>
  <c r="X27" i="32"/>
  <c r="H31" i="19"/>
  <c r="N27" i="19"/>
  <c r="P94" i="39"/>
  <c r="X90" i="39"/>
  <c r="Z90" i="39" s="1"/>
  <c r="R90" i="39"/>
  <c r="N27" i="22"/>
  <c r="H31" i="22"/>
  <c r="D81" i="84"/>
  <c r="L77" i="84"/>
  <c r="F77" i="84"/>
  <c r="H31" i="10"/>
  <c r="N27" i="10"/>
  <c r="J25" i="39"/>
  <c r="D31" i="53"/>
  <c r="L27" i="53"/>
  <c r="H89" i="62"/>
  <c r="N85" i="62"/>
  <c r="T84" i="9"/>
  <c r="X84" i="9" s="1"/>
  <c r="Z27" i="11"/>
  <c r="T31" i="11"/>
  <c r="X31" i="11" s="1"/>
  <c r="X27" i="37"/>
  <c r="P31" i="37"/>
  <c r="R68" i="69"/>
  <c r="P62" i="70"/>
  <c r="X23" i="70"/>
  <c r="Z23" i="70" s="1"/>
  <c r="D31" i="17"/>
  <c r="L27" i="17"/>
  <c r="D31" i="16"/>
  <c r="L27" i="16"/>
  <c r="P31" i="41"/>
  <c r="X27" i="41"/>
  <c r="D31" i="44"/>
  <c r="L27" i="44"/>
  <c r="H26" i="54"/>
  <c r="N22" i="54"/>
  <c r="L27" i="28"/>
  <c r="D31" i="28"/>
  <c r="D36" i="7"/>
  <c r="X45" i="27"/>
  <c r="P97" i="27"/>
  <c r="Z27" i="40"/>
  <c r="T31" i="40"/>
  <c r="Z36" i="64"/>
  <c r="T40" i="64"/>
  <c r="T41" i="74"/>
  <c r="X37" i="74"/>
  <c r="Z37" i="74" s="1"/>
  <c r="D67" i="92"/>
  <c r="L21" i="92"/>
  <c r="N21" i="92"/>
  <c r="H67" i="92"/>
  <c r="L27" i="98"/>
  <c r="N31" i="96"/>
  <c r="H36" i="96"/>
  <c r="N36" i="96" s="1"/>
  <c r="X27" i="20"/>
  <c r="L114" i="18"/>
  <c r="N114" i="18" s="1"/>
  <c r="D206" i="18"/>
  <c r="P43" i="64"/>
  <c r="X40" i="64"/>
  <c r="Z68" i="69"/>
  <c r="T114" i="69"/>
  <c r="H55" i="78"/>
  <c r="N51" i="78"/>
  <c r="P34" i="81"/>
  <c r="X30" i="81"/>
  <c r="Z30" i="81" s="1"/>
  <c r="T31" i="83"/>
  <c r="Z27" i="83"/>
  <c r="V27" i="83"/>
  <c r="P187" i="12"/>
  <c r="X95" i="12"/>
  <c r="Z95" i="12" s="1"/>
  <c r="Z27" i="49"/>
  <c r="T31" i="49"/>
  <c r="D33" i="86"/>
  <c r="L29" i="86"/>
  <c r="N29" i="86" s="1"/>
  <c r="T36" i="47"/>
  <c r="Z36" i="47" s="1"/>
  <c r="Z31" i="47"/>
  <c r="L27" i="50"/>
  <c r="D31" i="50"/>
  <c r="D50" i="95"/>
  <c r="L17" i="95"/>
  <c r="N17" i="95" s="1"/>
  <c r="X20" i="67"/>
  <c r="P41" i="67"/>
  <c r="L23" i="36"/>
  <c r="N23" i="36" s="1"/>
  <c r="D92" i="36"/>
  <c r="N27" i="32"/>
  <c r="H31" i="32"/>
  <c r="L31" i="32" s="1"/>
  <c r="P44" i="61"/>
  <c r="X40" i="61"/>
  <c r="Z40" i="61" s="1"/>
  <c r="P61" i="21"/>
  <c r="X21" i="21"/>
  <c r="Z21" i="21" s="1"/>
  <c r="P36" i="43"/>
  <c r="X36" i="43" s="1"/>
  <c r="X31" i="43"/>
  <c r="T89" i="62"/>
  <c r="X89" i="62" s="1"/>
  <c r="Z85" i="62"/>
  <c r="T29" i="75"/>
  <c r="X29" i="75" s="1"/>
  <c r="Z23" i="75"/>
  <c r="P31" i="25"/>
  <c r="X27" i="25"/>
  <c r="T55" i="59"/>
  <c r="H60" i="85"/>
  <c r="T57" i="85"/>
  <c r="Z53" i="85"/>
  <c r="D31" i="94"/>
  <c r="L28" i="94"/>
  <c r="T41" i="67"/>
  <c r="Z20" i="67"/>
  <c r="P51" i="73"/>
  <c r="X51" i="73" s="1"/>
  <c r="Z51" i="73" s="1"/>
  <c r="X48" i="73"/>
  <c r="Z48" i="73" s="1"/>
  <c r="P36" i="11"/>
  <c r="T187" i="12"/>
  <c r="D36" i="13"/>
  <c r="P36" i="23"/>
  <c r="T86" i="51"/>
  <c r="Z44" i="51"/>
  <c r="Z27" i="46"/>
  <c r="T31" i="46"/>
  <c r="T36" i="13"/>
  <c r="Z36" i="13" s="1"/>
  <c r="Z31" i="13"/>
  <c r="L27" i="46"/>
  <c r="D31" i="46"/>
  <c r="H52" i="76"/>
  <c r="L48" i="76"/>
  <c r="N48" i="76" s="1"/>
  <c r="X81" i="9"/>
  <c r="Z81" i="9" s="1"/>
  <c r="V95" i="12"/>
  <c r="P36" i="19"/>
  <c r="L27" i="35"/>
  <c r="D31" i="35"/>
  <c r="L27" i="41"/>
  <c r="D31" i="41"/>
  <c r="D32" i="55"/>
  <c r="L28" i="55"/>
  <c r="N28" i="55" s="1"/>
  <c r="D40" i="82"/>
  <c r="L36" i="82"/>
  <c r="N36" i="82" s="1"/>
  <c r="Z31" i="97"/>
  <c r="T36" i="97"/>
  <c r="Z36" i="97" s="1"/>
  <c r="P57" i="57"/>
  <c r="X53" i="57"/>
  <c r="Z53" i="57" s="1"/>
  <c r="Z27" i="41"/>
  <c r="T31" i="41"/>
  <c r="Z57" i="58"/>
  <c r="T61" i="58"/>
  <c r="R23" i="70"/>
  <c r="H81" i="84"/>
  <c r="N77" i="84"/>
  <c r="Z35" i="88"/>
  <c r="T39" i="88"/>
  <c r="T52" i="76"/>
  <c r="Z48" i="76"/>
  <c r="D81" i="9"/>
  <c r="L77" i="9"/>
  <c r="N77" i="9" s="1"/>
  <c r="F95" i="12"/>
  <c r="P36" i="31"/>
  <c r="T97" i="27"/>
  <c r="Z45" i="27"/>
  <c r="V45" i="27"/>
  <c r="F44" i="51"/>
  <c r="P75" i="45"/>
  <c r="X21" i="45"/>
  <c r="Z21" i="45" s="1"/>
  <c r="R21" i="45"/>
  <c r="D26" i="54"/>
  <c r="L22" i="54"/>
  <c r="P57" i="48"/>
  <c r="R54" i="48"/>
  <c r="X27" i="52"/>
  <c r="P31" i="52"/>
  <c r="F45" i="66"/>
  <c r="D48" i="73"/>
  <c r="L44" i="73"/>
  <c r="N44" i="73" s="1"/>
  <c r="T85" i="77"/>
  <c r="Z35" i="77"/>
  <c r="X27" i="96"/>
  <c r="P31" i="96"/>
  <c r="H31" i="47"/>
  <c r="L31" i="47" s="1"/>
  <c r="N27" i="47"/>
  <c r="L27" i="7"/>
  <c r="J68" i="30"/>
  <c r="P31" i="22"/>
  <c r="X27" i="22"/>
  <c r="P31" i="49"/>
  <c r="X27" i="49"/>
  <c r="J44" i="51"/>
  <c r="D47" i="61"/>
  <c r="L47" i="61" s="1"/>
  <c r="L44" i="61"/>
  <c r="N44" i="61" s="1"/>
  <c r="D36" i="98"/>
  <c r="D130" i="30"/>
  <c r="L68" i="30"/>
  <c r="N68" i="30" s="1"/>
  <c r="F68" i="30"/>
  <c r="P47" i="60"/>
  <c r="X44" i="60"/>
  <c r="D31" i="14"/>
  <c r="L27" i="14"/>
  <c r="R94" i="15"/>
  <c r="R25" i="33"/>
  <c r="N27" i="25"/>
  <c r="H31" i="25"/>
  <c r="D90" i="39"/>
  <c r="L25" i="39"/>
  <c r="N25" i="39" s="1"/>
  <c r="H31" i="43"/>
  <c r="N27" i="43"/>
  <c r="P89" i="77"/>
  <c r="R85" i="77"/>
  <c r="H33" i="75"/>
  <c r="J29" i="75"/>
  <c r="D31" i="38"/>
  <c r="L27" i="38"/>
  <c r="P36" i="4"/>
  <c r="X36" i="4" s="1"/>
  <c r="X31" i="4"/>
  <c r="N27" i="34"/>
  <c r="H31" i="34"/>
  <c r="L27" i="34"/>
  <c r="X45" i="66"/>
  <c r="Z45" i="66" s="1"/>
  <c r="F35" i="77"/>
  <c r="L24" i="94"/>
  <c r="N24" i="94" s="1"/>
  <c r="N31" i="49" l="1"/>
  <c r="L36" i="97"/>
  <c r="X36" i="10"/>
  <c r="L36" i="96"/>
  <c r="L31" i="38"/>
  <c r="D36" i="38"/>
  <c r="P92" i="77"/>
  <c r="R89" i="77"/>
  <c r="P36" i="49"/>
  <c r="X31" i="49"/>
  <c r="L81" i="9"/>
  <c r="D84" i="9"/>
  <c r="D36" i="35"/>
  <c r="L31" i="35"/>
  <c r="H55" i="76"/>
  <c r="L52" i="76"/>
  <c r="N52" i="76" s="1"/>
  <c r="T90" i="51"/>
  <c r="V86" i="51"/>
  <c r="P45" i="67"/>
  <c r="X41" i="67"/>
  <c r="T43" i="64"/>
  <c r="Z40" i="64"/>
  <c r="D36" i="44"/>
  <c r="L31" i="44"/>
  <c r="X62" i="70"/>
  <c r="Z62" i="70" s="1"/>
  <c r="P66" i="70"/>
  <c r="R62" i="70"/>
  <c r="H36" i="10"/>
  <c r="N36" i="10" s="1"/>
  <c r="N31" i="10"/>
  <c r="P97" i="39"/>
  <c r="X94" i="39"/>
  <c r="R94" i="39"/>
  <c r="H57" i="95"/>
  <c r="J54" i="95"/>
  <c r="L31" i="52"/>
  <c r="D36" i="52"/>
  <c r="H65" i="21"/>
  <c r="H90" i="51"/>
  <c r="J86" i="51"/>
  <c r="P36" i="97"/>
  <c r="X36" i="97" s="1"/>
  <c r="X31" i="97"/>
  <c r="T69" i="90"/>
  <c r="V65" i="90"/>
  <c r="P69" i="90"/>
  <c r="X65" i="90"/>
  <c r="Z65" i="90" s="1"/>
  <c r="H101" i="27"/>
  <c r="J97" i="27"/>
  <c r="T66" i="70"/>
  <c r="V62" i="70"/>
  <c r="T66" i="80"/>
  <c r="H36" i="11"/>
  <c r="N36" i="11" s="1"/>
  <c r="N31" i="11"/>
  <c r="D37" i="81"/>
  <c r="L37" i="81" s="1"/>
  <c r="L34" i="81"/>
  <c r="N34" i="81" s="1"/>
  <c r="H89" i="77"/>
  <c r="J85" i="77"/>
  <c r="Z31" i="19"/>
  <c r="T36" i="19"/>
  <c r="Z36" i="19" s="1"/>
  <c r="H56" i="24"/>
  <c r="L61" i="21"/>
  <c r="N61" i="21" s="1"/>
  <c r="P96" i="36"/>
  <c r="X92" i="36"/>
  <c r="Z92" i="36" s="1"/>
  <c r="R92" i="36"/>
  <c r="D36" i="40"/>
  <c r="L31" i="40"/>
  <c r="P37" i="79"/>
  <c r="X37" i="79" s="1"/>
  <c r="Z37" i="79" s="1"/>
  <c r="X34" i="79"/>
  <c r="Z34" i="79" s="1"/>
  <c r="P36" i="34"/>
  <c r="X36" i="34" s="1"/>
  <c r="X31" i="34"/>
  <c r="P36" i="53"/>
  <c r="X36" i="53" s="1"/>
  <c r="X31" i="53"/>
  <c r="T36" i="52"/>
  <c r="Z36" i="52" s="1"/>
  <c r="Z31" i="52"/>
  <c r="T69" i="33"/>
  <c r="V65" i="33"/>
  <c r="P36" i="22"/>
  <c r="X31" i="22"/>
  <c r="D36" i="46"/>
  <c r="L31" i="46"/>
  <c r="P36" i="25"/>
  <c r="X31" i="25"/>
  <c r="X61" i="21"/>
  <c r="P65" i="21"/>
  <c r="D36" i="86"/>
  <c r="L33" i="86"/>
  <c r="T34" i="83"/>
  <c r="V31" i="83"/>
  <c r="H71" i="92"/>
  <c r="P90" i="71"/>
  <c r="X86" i="71"/>
  <c r="R86" i="71"/>
  <c r="T47" i="60"/>
  <c r="Z44" i="60"/>
  <c r="T36" i="20"/>
  <c r="Z36" i="20" s="1"/>
  <c r="Z31" i="20"/>
  <c r="H118" i="69"/>
  <c r="J114" i="69"/>
  <c r="H36" i="86"/>
  <c r="N33" i="86"/>
  <c r="H90" i="71"/>
  <c r="J86" i="71"/>
  <c r="D225" i="3"/>
  <c r="L221" i="3"/>
  <c r="N221" i="3" s="1"/>
  <c r="F221" i="3"/>
  <c r="P36" i="75"/>
  <c r="R33" i="75"/>
  <c r="P90" i="51"/>
  <c r="X86" i="51"/>
  <c r="Z86" i="51" s="1"/>
  <c r="R86" i="51"/>
  <c r="P134" i="30"/>
  <c r="X130" i="30"/>
  <c r="R130" i="30"/>
  <c r="H31" i="6"/>
  <c r="N26" i="6"/>
  <c r="L26" i="6"/>
  <c r="X36" i="13"/>
  <c r="T37" i="81"/>
  <c r="T35" i="87"/>
  <c r="X63" i="80"/>
  <c r="Z63" i="80" s="1"/>
  <c r="T59" i="24"/>
  <c r="D68" i="21"/>
  <c r="L65" i="21"/>
  <c r="T36" i="25"/>
  <c r="Z36" i="25" s="1"/>
  <c r="Z31" i="25"/>
  <c r="T97" i="39"/>
  <c r="Z94" i="39"/>
  <c r="V94" i="39"/>
  <c r="D57" i="48"/>
  <c r="F54" i="48"/>
  <c r="T54" i="48"/>
  <c r="V50" i="48"/>
  <c r="X50" i="48"/>
  <c r="Z50" i="48" s="1"/>
  <c r="H60" i="56"/>
  <c r="P36" i="46"/>
  <c r="X31" i="46"/>
  <c r="T36" i="31"/>
  <c r="Z36" i="31" s="1"/>
  <c r="Z31" i="31"/>
  <c r="P31" i="94"/>
  <c r="X28" i="94"/>
  <c r="P31" i="6"/>
  <c r="X31" i="6" s="1"/>
  <c r="Z31" i="6" s="1"/>
  <c r="X26" i="6"/>
  <c r="P104" i="66"/>
  <c r="R101" i="66"/>
  <c r="R57" i="48"/>
  <c r="T55" i="76"/>
  <c r="T64" i="58"/>
  <c r="T36" i="49"/>
  <c r="Z36" i="49" s="1"/>
  <c r="Z31" i="49"/>
  <c r="X43" i="64"/>
  <c r="D36" i="28"/>
  <c r="L31" i="28"/>
  <c r="P36" i="41"/>
  <c r="X31" i="41"/>
  <c r="P36" i="37"/>
  <c r="X31" i="37"/>
  <c r="H36" i="19"/>
  <c r="N36" i="19" s="1"/>
  <c r="N31" i="19"/>
  <c r="H36" i="37"/>
  <c r="N36" i="37" s="1"/>
  <c r="N31" i="37"/>
  <c r="D191" i="12"/>
  <c r="L187" i="12"/>
  <c r="F187" i="12"/>
  <c r="P93" i="42"/>
  <c r="X90" i="42"/>
  <c r="R90" i="42"/>
  <c r="D36" i="19"/>
  <c r="L31" i="19"/>
  <c r="H230" i="3"/>
  <c r="J225" i="3"/>
  <c r="N31" i="46"/>
  <c r="H36" i="46"/>
  <c r="N36" i="46" s="1"/>
  <c r="T36" i="35"/>
  <c r="Z31" i="35"/>
  <c r="X31" i="35"/>
  <c r="T36" i="50"/>
  <c r="Z36" i="50" s="1"/>
  <c r="Z31" i="50"/>
  <c r="T36" i="37"/>
  <c r="Z36" i="37" s="1"/>
  <c r="Z31" i="37"/>
  <c r="H47" i="60"/>
  <c r="T90" i="71"/>
  <c r="Z86" i="71"/>
  <c r="V86" i="71"/>
  <c r="D93" i="42"/>
  <c r="L90" i="42"/>
  <c r="F90" i="42"/>
  <c r="X66" i="80"/>
  <c r="T57" i="95"/>
  <c r="V54" i="95"/>
  <c r="H36" i="13"/>
  <c r="N36" i="13" s="1"/>
  <c r="N31" i="13"/>
  <c r="H36" i="98"/>
  <c r="N36" i="98" s="1"/>
  <c r="N31" i="98"/>
  <c r="T43" i="82"/>
  <c r="Z40" i="82"/>
  <c r="X40" i="82"/>
  <c r="D36" i="20"/>
  <c r="L36" i="20" s="1"/>
  <c r="L31" i="20"/>
  <c r="D47" i="60"/>
  <c r="L44" i="60"/>
  <c r="N44" i="60" s="1"/>
  <c r="P188" i="15"/>
  <c r="X184" i="15"/>
  <c r="R184" i="15"/>
  <c r="H66" i="80"/>
  <c r="T134" i="30"/>
  <c r="Z130" i="30"/>
  <c r="V130" i="30"/>
  <c r="T36" i="7"/>
  <c r="Z36" i="7" s="1"/>
  <c r="Z31" i="7"/>
  <c r="N47" i="61"/>
  <c r="N31" i="8"/>
  <c r="H36" i="8"/>
  <c r="N36" i="8" s="1"/>
  <c r="H36" i="14"/>
  <c r="N36" i="14" s="1"/>
  <c r="N31" i="14"/>
  <c r="H36" i="53"/>
  <c r="N36" i="53" s="1"/>
  <c r="N31" i="53"/>
  <c r="D56" i="24"/>
  <c r="L52" i="24"/>
  <c r="N52" i="24" s="1"/>
  <c r="Z31" i="14"/>
  <c r="T36" i="14"/>
  <c r="Z36" i="14" s="1"/>
  <c r="H191" i="15"/>
  <c r="J188" i="15"/>
  <c r="H36" i="43"/>
  <c r="N36" i="43" s="1"/>
  <c r="N31" i="43"/>
  <c r="T101" i="27"/>
  <c r="V97" i="27"/>
  <c r="D43" i="82"/>
  <c r="L40" i="82"/>
  <c r="T60" i="85"/>
  <c r="T33" i="75"/>
  <c r="X33" i="75" s="1"/>
  <c r="Z29" i="75"/>
  <c r="V29" i="75"/>
  <c r="P47" i="61"/>
  <c r="X47" i="61" s="1"/>
  <c r="X44" i="61"/>
  <c r="Z44" i="61" s="1"/>
  <c r="D54" i="95"/>
  <c r="L50" i="95"/>
  <c r="N50" i="95" s="1"/>
  <c r="F50" i="95"/>
  <c r="P37" i="81"/>
  <c r="X37" i="81" s="1"/>
  <c r="X34" i="81"/>
  <c r="Z34" i="81" s="1"/>
  <c r="D210" i="18"/>
  <c r="L206" i="18"/>
  <c r="N206" i="18" s="1"/>
  <c r="F206" i="18"/>
  <c r="H92" i="62"/>
  <c r="D84" i="84"/>
  <c r="L81" i="84"/>
  <c r="F81" i="84"/>
  <c r="H64" i="58"/>
  <c r="Z61" i="21"/>
  <c r="T65" i="21"/>
  <c r="H31" i="94"/>
  <c r="N28" i="94"/>
  <c r="D38" i="65"/>
  <c r="L38" i="65" s="1"/>
  <c r="N38" i="65" s="1"/>
  <c r="L35" i="65"/>
  <c r="N35" i="65" s="1"/>
  <c r="D45" i="67"/>
  <c r="L41" i="67"/>
  <c r="N41" i="67" s="1"/>
  <c r="D60" i="85"/>
  <c r="L60" i="85" s="1"/>
  <c r="L57" i="85"/>
  <c r="N57" i="85" s="1"/>
  <c r="D60" i="57"/>
  <c r="L60" i="57" s="1"/>
  <c r="L57" i="57"/>
  <c r="N57" i="57" s="1"/>
  <c r="D72" i="90"/>
  <c r="L69" i="90"/>
  <c r="T36" i="26"/>
  <c r="Z36" i="26" s="1"/>
  <c r="Z31" i="26"/>
  <c r="D44" i="74"/>
  <c r="L41" i="74"/>
  <c r="H69" i="33"/>
  <c r="N65" i="33"/>
  <c r="J65" i="33"/>
  <c r="Z58" i="78"/>
  <c r="D36" i="49"/>
  <c r="L36" i="49" s="1"/>
  <c r="L31" i="49"/>
  <c r="P36" i="47"/>
  <c r="X36" i="47" s="1"/>
  <c r="X31" i="47"/>
  <c r="Z31" i="44"/>
  <c r="T36" i="44"/>
  <c r="Z36" i="44" s="1"/>
  <c r="D69" i="33"/>
  <c r="L65" i="33"/>
  <c r="F65" i="33"/>
  <c r="H101" i="66"/>
  <c r="J97" i="66"/>
  <c r="D36" i="25"/>
  <c r="L31" i="25"/>
  <c r="T58" i="93"/>
  <c r="X55" i="93"/>
  <c r="Z55" i="93" s="1"/>
  <c r="T36" i="22"/>
  <c r="Z36" i="22" s="1"/>
  <c r="Z31" i="22"/>
  <c r="D36" i="31"/>
  <c r="L31" i="31"/>
  <c r="P210" i="18"/>
  <c r="X206" i="18"/>
  <c r="R206" i="18"/>
  <c r="P36" i="26"/>
  <c r="X31" i="26"/>
  <c r="X61" i="58"/>
  <c r="Z61" i="58" s="1"/>
  <c r="T31" i="94"/>
  <c r="Z28" i="94"/>
  <c r="P35" i="87"/>
  <c r="X35" i="87" s="1"/>
  <c r="X32" i="87"/>
  <c r="Z32" i="87" s="1"/>
  <c r="D55" i="59"/>
  <c r="L55" i="59" s="1"/>
  <c r="L52" i="59"/>
  <c r="N52" i="59" s="1"/>
  <c r="T89" i="77"/>
  <c r="V85" i="77"/>
  <c r="X47" i="60"/>
  <c r="L48" i="73"/>
  <c r="D51" i="73"/>
  <c r="D31" i="54"/>
  <c r="L26" i="54"/>
  <c r="T42" i="88"/>
  <c r="T36" i="41"/>
  <c r="Z36" i="41" s="1"/>
  <c r="Z31" i="41"/>
  <c r="H36" i="32"/>
  <c r="N36" i="32" s="1"/>
  <c r="N31" i="32"/>
  <c r="D36" i="50"/>
  <c r="L31" i="50"/>
  <c r="D71" i="92"/>
  <c r="L67" i="92"/>
  <c r="N67" i="92" s="1"/>
  <c r="F67" i="92"/>
  <c r="T36" i="40"/>
  <c r="Z36" i="40" s="1"/>
  <c r="Z31" i="40"/>
  <c r="D36" i="16"/>
  <c r="L31" i="16"/>
  <c r="Z31" i="11"/>
  <c r="T36" i="11"/>
  <c r="Z36" i="11" s="1"/>
  <c r="H36" i="22"/>
  <c r="N36" i="22" s="1"/>
  <c r="N31" i="22"/>
  <c r="P36" i="32"/>
  <c r="X31" i="32"/>
  <c r="H36" i="40"/>
  <c r="N36" i="40" s="1"/>
  <c r="N31" i="40"/>
  <c r="H51" i="73"/>
  <c r="N48" i="73"/>
  <c r="N31" i="4"/>
  <c r="H36" i="4"/>
  <c r="N36" i="4" s="1"/>
  <c r="H48" i="67"/>
  <c r="H36" i="23"/>
  <c r="N36" i="23" s="1"/>
  <c r="N31" i="23"/>
  <c r="P55" i="76"/>
  <c r="X55" i="76" s="1"/>
  <c r="X52" i="76"/>
  <c r="Z52" i="76" s="1"/>
  <c r="T230" i="3"/>
  <c r="V225" i="3"/>
  <c r="D188" i="15"/>
  <c r="L184" i="15"/>
  <c r="N184" i="15" s="1"/>
  <c r="F184" i="15"/>
  <c r="D36" i="22"/>
  <c r="L31" i="22"/>
  <c r="P84" i="84"/>
  <c r="R81" i="84"/>
  <c r="T60" i="57"/>
  <c r="H36" i="5"/>
  <c r="N36" i="5" s="1"/>
  <c r="N31" i="5"/>
  <c r="P41" i="63"/>
  <c r="X41" i="63" s="1"/>
  <c r="Z41" i="63" s="1"/>
  <c r="X38" i="63"/>
  <c r="Z38" i="63" s="1"/>
  <c r="L39" i="88"/>
  <c r="N39" i="88" s="1"/>
  <c r="D42" i="88"/>
  <c r="L42" i="88" s="1"/>
  <c r="N42" i="88" s="1"/>
  <c r="H35" i="87"/>
  <c r="L31" i="10"/>
  <c r="P230" i="3"/>
  <c r="X225" i="3"/>
  <c r="Z225" i="3" s="1"/>
  <c r="R225" i="3"/>
  <c r="D92" i="62"/>
  <c r="L92" i="62" s="1"/>
  <c r="L89" i="62"/>
  <c r="N89" i="62" s="1"/>
  <c r="P118" i="69"/>
  <c r="X114" i="69"/>
  <c r="R114" i="69"/>
  <c r="P31" i="91"/>
  <c r="X31" i="91" s="1"/>
  <c r="Z31" i="91" s="1"/>
  <c r="X28" i="91"/>
  <c r="Z28" i="91" s="1"/>
  <c r="L85" i="77"/>
  <c r="N85" i="77" s="1"/>
  <c r="D89" i="77"/>
  <c r="F85" i="77"/>
  <c r="L31" i="4"/>
  <c r="X36" i="98"/>
  <c r="T210" i="18"/>
  <c r="Z206" i="18"/>
  <c r="V206" i="18"/>
  <c r="H82" i="45"/>
  <c r="J79" i="45"/>
  <c r="P36" i="40"/>
  <c r="X31" i="40"/>
  <c r="X64" i="58"/>
  <c r="H36" i="34"/>
  <c r="N31" i="34"/>
  <c r="L31" i="34"/>
  <c r="H36" i="25"/>
  <c r="N36" i="25" s="1"/>
  <c r="N31" i="25"/>
  <c r="L32" i="55"/>
  <c r="D35" i="55"/>
  <c r="T36" i="46"/>
  <c r="Z36" i="46" s="1"/>
  <c r="Z31" i="46"/>
  <c r="N60" i="85"/>
  <c r="T92" i="62"/>
  <c r="X92" i="62" s="1"/>
  <c r="Z89" i="62"/>
  <c r="P191" i="12"/>
  <c r="X187" i="12"/>
  <c r="R187" i="12"/>
  <c r="D36" i="53"/>
  <c r="L31" i="53"/>
  <c r="P69" i="33"/>
  <c r="X65" i="33"/>
  <c r="Z65" i="33" s="1"/>
  <c r="R65" i="33"/>
  <c r="D36" i="5"/>
  <c r="L31" i="5"/>
  <c r="H43" i="82"/>
  <c r="N40" i="82"/>
  <c r="Z47" i="61"/>
  <c r="P36" i="14"/>
  <c r="X31" i="14"/>
  <c r="H54" i="48"/>
  <c r="N50" i="48"/>
  <c r="J50" i="48"/>
  <c r="N31" i="28"/>
  <c r="H36" i="28"/>
  <c r="N36" i="28" s="1"/>
  <c r="L31" i="43"/>
  <c r="H36" i="44"/>
  <c r="N36" i="44" s="1"/>
  <c r="N31" i="44"/>
  <c r="D36" i="37"/>
  <c r="L31" i="37"/>
  <c r="N31" i="38"/>
  <c r="H36" i="38"/>
  <c r="N36" i="38" s="1"/>
  <c r="P42" i="88"/>
  <c r="X42" i="88" s="1"/>
  <c r="X39" i="88"/>
  <c r="Z39" i="88" s="1"/>
  <c r="H35" i="55"/>
  <c r="N32" i="55"/>
  <c r="P36" i="5"/>
  <c r="X31" i="5"/>
  <c r="D64" i="58"/>
  <c r="L64" i="58" s="1"/>
  <c r="L61" i="58"/>
  <c r="N61" i="58" s="1"/>
  <c r="D36" i="11"/>
  <c r="L31" i="11"/>
  <c r="N31" i="91"/>
  <c r="D35" i="87"/>
  <c r="L35" i="87" s="1"/>
  <c r="L32" i="87"/>
  <c r="N32" i="87" s="1"/>
  <c r="D60" i="56"/>
  <c r="L60" i="56" s="1"/>
  <c r="L57" i="56"/>
  <c r="N57" i="56" s="1"/>
  <c r="D82" i="45"/>
  <c r="L79" i="45"/>
  <c r="N79" i="45" s="1"/>
  <c r="F79" i="45"/>
  <c r="P34" i="83"/>
  <c r="X34" i="83" s="1"/>
  <c r="X31" i="83"/>
  <c r="Z31" i="83" s="1"/>
  <c r="N31" i="50"/>
  <c r="H36" i="50"/>
  <c r="N36" i="50" s="1"/>
  <c r="T74" i="92"/>
  <c r="Z48" i="89"/>
  <c r="D36" i="26"/>
  <c r="L36" i="26" s="1"/>
  <c r="L31" i="26"/>
  <c r="D36" i="23"/>
  <c r="L31" i="23"/>
  <c r="D48" i="89"/>
  <c r="L45" i="89"/>
  <c r="P55" i="59"/>
  <c r="X55" i="59" s="1"/>
  <c r="X52" i="59"/>
  <c r="Z52" i="59" s="1"/>
  <c r="D58" i="78"/>
  <c r="L55" i="78"/>
  <c r="D36" i="14"/>
  <c r="L31" i="14"/>
  <c r="D94" i="39"/>
  <c r="L90" i="39"/>
  <c r="F90" i="39"/>
  <c r="H36" i="75"/>
  <c r="J33" i="75"/>
  <c r="H36" i="47"/>
  <c r="N36" i="47" s="1"/>
  <c r="N31" i="47"/>
  <c r="D36" i="41"/>
  <c r="L36" i="41" s="1"/>
  <c r="L31" i="41"/>
  <c r="T191" i="12"/>
  <c r="Z187" i="12"/>
  <c r="V187" i="12"/>
  <c r="D96" i="36"/>
  <c r="L92" i="36"/>
  <c r="N92" i="36" s="1"/>
  <c r="F92" i="36"/>
  <c r="H58" i="78"/>
  <c r="N55" i="78"/>
  <c r="P101" i="27"/>
  <c r="X97" i="27"/>
  <c r="Z97" i="27" s="1"/>
  <c r="R97" i="27"/>
  <c r="H31" i="54"/>
  <c r="N26" i="54"/>
  <c r="D36" i="17"/>
  <c r="L36" i="17" s="1"/>
  <c r="L31" i="17"/>
  <c r="Z84" i="9"/>
  <c r="H43" i="64"/>
  <c r="D118" i="69"/>
  <c r="L114" i="69"/>
  <c r="N114" i="69" s="1"/>
  <c r="F114" i="69"/>
  <c r="X35" i="65"/>
  <c r="P38" i="65"/>
  <c r="T188" i="15"/>
  <c r="Z184" i="15"/>
  <c r="V184" i="15"/>
  <c r="N37" i="81"/>
  <c r="Z90" i="42"/>
  <c r="T93" i="42"/>
  <c r="V90" i="42"/>
  <c r="H134" i="30"/>
  <c r="J130" i="30"/>
  <c r="H213" i="18"/>
  <c r="J210" i="18"/>
  <c r="P36" i="29"/>
  <c r="X36" i="29" s="1"/>
  <c r="X31" i="29"/>
  <c r="H36" i="31"/>
  <c r="N36" i="31" s="1"/>
  <c r="N31" i="31"/>
  <c r="T36" i="32"/>
  <c r="Z36" i="32" s="1"/>
  <c r="Z31" i="32"/>
  <c r="P57" i="95"/>
  <c r="X54" i="95"/>
  <c r="Z54" i="95" s="1"/>
  <c r="R54" i="95"/>
  <c r="P36" i="50"/>
  <c r="X31" i="50"/>
  <c r="T36" i="16"/>
  <c r="Z36" i="16" s="1"/>
  <c r="Z31" i="16"/>
  <c r="P36" i="7"/>
  <c r="X31" i="7"/>
  <c r="D90" i="71"/>
  <c r="L86" i="71"/>
  <c r="N86" i="71" s="1"/>
  <c r="F86" i="71"/>
  <c r="H191" i="12"/>
  <c r="N187" i="12"/>
  <c r="J187" i="12"/>
  <c r="Z26" i="54"/>
  <c r="T31" i="54"/>
  <c r="N60" i="57"/>
  <c r="H36" i="35"/>
  <c r="N36" i="35" s="1"/>
  <c r="N31" i="35"/>
  <c r="D33" i="75"/>
  <c r="L29" i="75"/>
  <c r="N29" i="75" s="1"/>
  <c r="F29" i="75"/>
  <c r="P36" i="28"/>
  <c r="X31" i="28"/>
  <c r="Z31" i="5"/>
  <c r="T36" i="5"/>
  <c r="Z36" i="5" s="1"/>
  <c r="D43" i="64"/>
  <c r="L43" i="64" s="1"/>
  <c r="L40" i="64"/>
  <c r="N40" i="64" s="1"/>
  <c r="D58" i="93"/>
  <c r="L58" i="93" s="1"/>
  <c r="N58" i="93" s="1"/>
  <c r="L55" i="93"/>
  <c r="N55" i="93" s="1"/>
  <c r="H66" i="70"/>
  <c r="J62" i="70"/>
  <c r="H72" i="90"/>
  <c r="N69" i="90"/>
  <c r="J69" i="90"/>
  <c r="H93" i="42"/>
  <c r="N90" i="42"/>
  <c r="J90" i="42"/>
  <c r="P36" i="52"/>
  <c r="X31" i="52"/>
  <c r="X85" i="77"/>
  <c r="Z85" i="77" s="1"/>
  <c r="D134" i="30"/>
  <c r="L130" i="30"/>
  <c r="N130" i="30" s="1"/>
  <c r="F130" i="30"/>
  <c r="P36" i="96"/>
  <c r="X31" i="96"/>
  <c r="P79" i="45"/>
  <c r="X75" i="45"/>
  <c r="Z75" i="45" s="1"/>
  <c r="R75" i="45"/>
  <c r="H84" i="84"/>
  <c r="N81" i="84"/>
  <c r="P60" i="57"/>
  <c r="X60" i="57" s="1"/>
  <c r="X57" i="57"/>
  <c r="Z57" i="57" s="1"/>
  <c r="T45" i="67"/>
  <c r="Z41" i="67"/>
  <c r="Z55" i="59"/>
  <c r="T118" i="69"/>
  <c r="Z114" i="69"/>
  <c r="V114" i="69"/>
  <c r="T44" i="74"/>
  <c r="X41" i="74"/>
  <c r="Z41" i="74" s="1"/>
  <c r="T36" i="28"/>
  <c r="Z36" i="28" s="1"/>
  <c r="Z31" i="28"/>
  <c r="D66" i="70"/>
  <c r="L62" i="70"/>
  <c r="N62" i="70" s="1"/>
  <c r="F62" i="70"/>
  <c r="D101" i="27"/>
  <c r="L97" i="27"/>
  <c r="N97" i="27" s="1"/>
  <c r="F97" i="27"/>
  <c r="H36" i="52"/>
  <c r="N36" i="52" s="1"/>
  <c r="N31" i="52"/>
  <c r="T36" i="96"/>
  <c r="Z36" i="96" s="1"/>
  <c r="Z31" i="96"/>
  <c r="T36" i="86"/>
  <c r="X33" i="86"/>
  <c r="Z33" i="86" s="1"/>
  <c r="H44" i="74"/>
  <c r="N41" i="74"/>
  <c r="P60" i="85"/>
  <c r="X60" i="85" s="1"/>
  <c r="X57" i="85"/>
  <c r="Z57" i="85" s="1"/>
  <c r="H84" i="9"/>
  <c r="N81" i="9"/>
  <c r="T38" i="65"/>
  <c r="Z35" i="65"/>
  <c r="H99" i="36"/>
  <c r="J96" i="36"/>
  <c r="H36" i="16"/>
  <c r="N36" i="16" s="1"/>
  <c r="N31" i="16"/>
  <c r="H41" i="63"/>
  <c r="L38" i="63"/>
  <c r="N38" i="63" s="1"/>
  <c r="P71" i="92"/>
  <c r="X67" i="92"/>
  <c r="Z67" i="92" s="1"/>
  <c r="R67" i="92"/>
  <c r="T99" i="36"/>
  <c r="V96" i="36"/>
  <c r="N31" i="7"/>
  <c r="H36" i="7"/>
  <c r="N36" i="7" s="1"/>
  <c r="T81" i="84"/>
  <c r="X81" i="84" s="1"/>
  <c r="Z77" i="84"/>
  <c r="N55" i="59"/>
  <c r="P56" i="24"/>
  <c r="X52" i="24"/>
  <c r="Z52" i="24" s="1"/>
  <c r="D90" i="51"/>
  <c r="L86" i="51"/>
  <c r="N86" i="51" s="1"/>
  <c r="F86" i="51"/>
  <c r="T36" i="38"/>
  <c r="Z36" i="38" s="1"/>
  <c r="Z31" i="38"/>
  <c r="D31" i="83"/>
  <c r="L27" i="83"/>
  <c r="N27" i="83" s="1"/>
  <c r="T101" i="66"/>
  <c r="Z97" i="66"/>
  <c r="V97" i="66"/>
  <c r="D101" i="66"/>
  <c r="L97" i="66"/>
  <c r="N97" i="66" s="1"/>
  <c r="F97" i="66"/>
  <c r="T36" i="23"/>
  <c r="Z36" i="23" s="1"/>
  <c r="Z31" i="23"/>
  <c r="H48" i="89"/>
  <c r="N45" i="89"/>
  <c r="P36" i="8"/>
  <c r="X36" i="8" s="1"/>
  <c r="X31" i="8"/>
  <c r="D37" i="79"/>
  <c r="L37" i="79" s="1"/>
  <c r="N37" i="79" s="1"/>
  <c r="L34" i="79"/>
  <c r="N34" i="79" s="1"/>
  <c r="X31" i="17"/>
  <c r="P36" i="17"/>
  <c r="X36" i="17" s="1"/>
  <c r="D66" i="80"/>
  <c r="L66" i="80" s="1"/>
  <c r="L63" i="80"/>
  <c r="N63" i="80" s="1"/>
  <c r="H94" i="39"/>
  <c r="N90" i="39"/>
  <c r="J90" i="39"/>
  <c r="X36" i="19" l="1"/>
  <c r="L36" i="8"/>
  <c r="L36" i="37"/>
  <c r="L36" i="23"/>
  <c r="L36" i="13"/>
  <c r="L36" i="4"/>
  <c r="X36" i="26"/>
  <c r="L36" i="22"/>
  <c r="X36" i="20"/>
  <c r="L36" i="14"/>
  <c r="X36" i="40"/>
  <c r="X36" i="7"/>
  <c r="L36" i="5"/>
  <c r="X36" i="14"/>
  <c r="X36" i="31"/>
  <c r="L36" i="19"/>
  <c r="L36" i="10"/>
  <c r="X36" i="50"/>
  <c r="X36" i="52"/>
  <c r="L36" i="43"/>
  <c r="L36" i="11"/>
  <c r="L36" i="53"/>
  <c r="D104" i="66"/>
  <c r="L101" i="66"/>
  <c r="F101" i="66"/>
  <c r="P82" i="45"/>
  <c r="X79" i="45"/>
  <c r="Z79" i="45" s="1"/>
  <c r="R79" i="45"/>
  <c r="N72" i="90"/>
  <c r="J72" i="90"/>
  <c r="X38" i="65"/>
  <c r="D97" i="39"/>
  <c r="L94" i="39"/>
  <c r="N94" i="39" s="1"/>
  <c r="F94" i="39"/>
  <c r="L48" i="89"/>
  <c r="L82" i="45"/>
  <c r="F82" i="45"/>
  <c r="L71" i="92"/>
  <c r="D74" i="92"/>
  <c r="F71" i="92"/>
  <c r="Z42" i="88"/>
  <c r="T92" i="77"/>
  <c r="V89" i="77"/>
  <c r="L36" i="25"/>
  <c r="L72" i="90"/>
  <c r="V57" i="95"/>
  <c r="Z36" i="35"/>
  <c r="X36" i="35"/>
  <c r="N60" i="56"/>
  <c r="H93" i="71"/>
  <c r="J90" i="71"/>
  <c r="H74" i="92"/>
  <c r="N71" i="92"/>
  <c r="L36" i="40"/>
  <c r="H97" i="39"/>
  <c r="J94" i="39"/>
  <c r="Z38" i="65"/>
  <c r="D104" i="27"/>
  <c r="L101" i="27"/>
  <c r="F101" i="27"/>
  <c r="T48" i="67"/>
  <c r="D93" i="71"/>
  <c r="L90" i="71"/>
  <c r="N90" i="71" s="1"/>
  <c r="F90" i="71"/>
  <c r="N36" i="34"/>
  <c r="L36" i="34"/>
  <c r="X230" i="3"/>
  <c r="R230" i="3"/>
  <c r="L36" i="31"/>
  <c r="X36" i="16"/>
  <c r="H72" i="33"/>
  <c r="J69" i="33"/>
  <c r="X43" i="82"/>
  <c r="Z43" i="82" s="1"/>
  <c r="L36" i="28"/>
  <c r="Z55" i="76"/>
  <c r="L31" i="6"/>
  <c r="N31" i="6" s="1"/>
  <c r="Z47" i="60"/>
  <c r="X36" i="22"/>
  <c r="Z66" i="80"/>
  <c r="P72" i="90"/>
  <c r="X69" i="90"/>
  <c r="H93" i="51"/>
  <c r="J90" i="51"/>
  <c r="T93" i="51"/>
  <c r="V90" i="51"/>
  <c r="D93" i="51"/>
  <c r="L90" i="51"/>
  <c r="N90" i="51" s="1"/>
  <c r="F90" i="51"/>
  <c r="L41" i="63"/>
  <c r="N41" i="63" s="1"/>
  <c r="X36" i="86"/>
  <c r="Z36" i="86" s="1"/>
  <c r="X36" i="96"/>
  <c r="X36" i="38"/>
  <c r="V93" i="42"/>
  <c r="L35" i="55"/>
  <c r="T213" i="18"/>
  <c r="V210" i="18"/>
  <c r="L36" i="50"/>
  <c r="D213" i="18"/>
  <c r="L210" i="18"/>
  <c r="N210" i="18" s="1"/>
  <c r="F210" i="18"/>
  <c r="X188" i="15"/>
  <c r="P191" i="15"/>
  <c r="R188" i="15"/>
  <c r="X31" i="94"/>
  <c r="V97" i="39"/>
  <c r="R36" i="75"/>
  <c r="X36" i="25"/>
  <c r="H92" i="77"/>
  <c r="J89" i="77"/>
  <c r="L36" i="44"/>
  <c r="X36" i="49"/>
  <c r="N48" i="89"/>
  <c r="T104" i="66"/>
  <c r="V101" i="66"/>
  <c r="Z44" i="74"/>
  <c r="X44" i="74"/>
  <c r="H69" i="70"/>
  <c r="J66" i="70"/>
  <c r="X36" i="28"/>
  <c r="X57" i="95"/>
  <c r="Z57" i="95" s="1"/>
  <c r="R57" i="95"/>
  <c r="N31" i="54"/>
  <c r="D99" i="36"/>
  <c r="L96" i="36"/>
  <c r="N96" i="36" s="1"/>
  <c r="F96" i="36"/>
  <c r="X36" i="5"/>
  <c r="H57" i="48"/>
  <c r="J54" i="48"/>
  <c r="L36" i="16"/>
  <c r="L31" i="54"/>
  <c r="X31" i="54"/>
  <c r="Z31" i="54" s="1"/>
  <c r="H104" i="66"/>
  <c r="N101" i="66"/>
  <c r="J101" i="66"/>
  <c r="L44" i="74"/>
  <c r="L84" i="84"/>
  <c r="F84" i="84"/>
  <c r="L43" i="82"/>
  <c r="N43" i="82" s="1"/>
  <c r="J191" i="15"/>
  <c r="L36" i="47"/>
  <c r="X93" i="42"/>
  <c r="Z93" i="42" s="1"/>
  <c r="R93" i="42"/>
  <c r="Z35" i="87"/>
  <c r="L31" i="94"/>
  <c r="N31" i="94" s="1"/>
  <c r="P99" i="36"/>
  <c r="X96" i="36"/>
  <c r="Z96" i="36" s="1"/>
  <c r="R96" i="36"/>
  <c r="T72" i="90"/>
  <c r="Z69" i="90"/>
  <c r="V69" i="90"/>
  <c r="H68" i="21"/>
  <c r="N65" i="21"/>
  <c r="X97" i="39"/>
  <c r="Z97" i="39" s="1"/>
  <c r="R97" i="39"/>
  <c r="L55" i="76"/>
  <c r="N55" i="76" s="1"/>
  <c r="P59" i="24"/>
  <c r="X59" i="24" s="1"/>
  <c r="Z59" i="24" s="1"/>
  <c r="X56" i="24"/>
  <c r="Z56" i="24" s="1"/>
  <c r="V99" i="36"/>
  <c r="D121" i="69"/>
  <c r="L118" i="69"/>
  <c r="F118" i="69"/>
  <c r="J36" i="75"/>
  <c r="L58" i="78"/>
  <c r="N58" i="78" s="1"/>
  <c r="P194" i="12"/>
  <c r="X191" i="12"/>
  <c r="R191" i="12"/>
  <c r="P121" i="69"/>
  <c r="X118" i="69"/>
  <c r="R118" i="69"/>
  <c r="N35" i="87"/>
  <c r="Z60" i="57"/>
  <c r="D191" i="15"/>
  <c r="L188" i="15"/>
  <c r="N188" i="15" s="1"/>
  <c r="F188" i="15"/>
  <c r="L51" i="73"/>
  <c r="N51" i="73" s="1"/>
  <c r="T68" i="21"/>
  <c r="N92" i="62"/>
  <c r="T36" i="75"/>
  <c r="X36" i="75" s="1"/>
  <c r="Z33" i="75"/>
  <c r="V33" i="75"/>
  <c r="L47" i="60"/>
  <c r="N47" i="60" s="1"/>
  <c r="L93" i="42"/>
  <c r="F93" i="42"/>
  <c r="T57" i="48"/>
  <c r="V54" i="48"/>
  <c r="X54" i="48"/>
  <c r="Z54" i="48" s="1"/>
  <c r="P137" i="30"/>
  <c r="X134" i="30"/>
  <c r="R134" i="30"/>
  <c r="P93" i="71"/>
  <c r="X90" i="71"/>
  <c r="R90" i="71"/>
  <c r="Z34" i="83"/>
  <c r="V34" i="83"/>
  <c r="X36" i="11"/>
  <c r="T72" i="33"/>
  <c r="V69" i="33"/>
  <c r="T69" i="70"/>
  <c r="V66" i="70"/>
  <c r="L36" i="52"/>
  <c r="Z43" i="64"/>
  <c r="X92" i="77"/>
  <c r="R92" i="77"/>
  <c r="D34" i="83"/>
  <c r="L34" i="83" s="1"/>
  <c r="N34" i="83" s="1"/>
  <c r="L31" i="83"/>
  <c r="N31" i="83" s="1"/>
  <c r="N84" i="84"/>
  <c r="D137" i="30"/>
  <c r="L134" i="30"/>
  <c r="F134" i="30"/>
  <c r="N93" i="42"/>
  <c r="J93" i="42"/>
  <c r="J213" i="18"/>
  <c r="N35" i="55"/>
  <c r="X36" i="32"/>
  <c r="X36" i="44"/>
  <c r="T137" i="30"/>
  <c r="Z134" i="30"/>
  <c r="V134" i="30"/>
  <c r="X36" i="37"/>
  <c r="X36" i="23"/>
  <c r="X101" i="66"/>
  <c r="Z101" i="66" s="1"/>
  <c r="Z37" i="81"/>
  <c r="D230" i="3"/>
  <c r="L225" i="3"/>
  <c r="N225" i="3" s="1"/>
  <c r="F225" i="3"/>
  <c r="H121" i="69"/>
  <c r="N118" i="69"/>
  <c r="J118" i="69"/>
  <c r="X89" i="77"/>
  <c r="Z89" i="77" s="1"/>
  <c r="D69" i="70"/>
  <c r="L66" i="70"/>
  <c r="N66" i="70" s="1"/>
  <c r="F66" i="70"/>
  <c r="Z118" i="69"/>
  <c r="T121" i="69"/>
  <c r="V118" i="69"/>
  <c r="D36" i="75"/>
  <c r="L33" i="75"/>
  <c r="N33" i="75" s="1"/>
  <c r="F33" i="75"/>
  <c r="H194" i="12"/>
  <c r="J191" i="12"/>
  <c r="N43" i="64"/>
  <c r="P104" i="27"/>
  <c r="X101" i="27"/>
  <c r="R101" i="27"/>
  <c r="Z191" i="12"/>
  <c r="T194" i="12"/>
  <c r="V191" i="12"/>
  <c r="Z92" i="62"/>
  <c r="L89" i="77"/>
  <c r="N89" i="77" s="1"/>
  <c r="D92" i="77"/>
  <c r="F89" i="77"/>
  <c r="Z230" i="3"/>
  <c r="V230" i="3"/>
  <c r="P213" i="18"/>
  <c r="X210" i="18"/>
  <c r="Z210" i="18" s="1"/>
  <c r="R210" i="18"/>
  <c r="Z58" i="93"/>
  <c r="X58" i="93"/>
  <c r="D72" i="33"/>
  <c r="L69" i="33"/>
  <c r="N69" i="33" s="1"/>
  <c r="F69" i="33"/>
  <c r="L36" i="32"/>
  <c r="Z60" i="85"/>
  <c r="T104" i="27"/>
  <c r="Z101" i="27"/>
  <c r="V101" i="27"/>
  <c r="J230" i="3"/>
  <c r="D194" i="12"/>
  <c r="L191" i="12"/>
  <c r="N191" i="12" s="1"/>
  <c r="F191" i="12"/>
  <c r="X104" i="66"/>
  <c r="R104" i="66"/>
  <c r="X36" i="46"/>
  <c r="L54" i="48"/>
  <c r="N54" i="48" s="1"/>
  <c r="L68" i="21"/>
  <c r="L36" i="86"/>
  <c r="N36" i="86" s="1"/>
  <c r="L36" i="46"/>
  <c r="H59" i="24"/>
  <c r="P48" i="67"/>
  <c r="X48" i="67" s="1"/>
  <c r="X45" i="67"/>
  <c r="Z45" i="67" s="1"/>
  <c r="L36" i="35"/>
  <c r="L36" i="38"/>
  <c r="T84" i="84"/>
  <c r="Z81" i="84"/>
  <c r="P74" i="92"/>
  <c r="X71" i="92"/>
  <c r="Z71" i="92" s="1"/>
  <c r="R71" i="92"/>
  <c r="J99" i="36"/>
  <c r="N44" i="74"/>
  <c r="H137" i="30"/>
  <c r="N134" i="30"/>
  <c r="J134" i="30"/>
  <c r="T191" i="15"/>
  <c r="Z188" i="15"/>
  <c r="V188" i="15"/>
  <c r="P72" i="33"/>
  <c r="X69" i="33"/>
  <c r="Z69" i="33" s="1"/>
  <c r="R69" i="33"/>
  <c r="N82" i="45"/>
  <c r="J82" i="45"/>
  <c r="X84" i="84"/>
  <c r="R84" i="84"/>
  <c r="Z31" i="94"/>
  <c r="D48" i="67"/>
  <c r="L48" i="67" s="1"/>
  <c r="N48" i="67" s="1"/>
  <c r="L45" i="67"/>
  <c r="N45" i="67" s="1"/>
  <c r="N64" i="58"/>
  <c r="D57" i="95"/>
  <c r="L54" i="95"/>
  <c r="N54" i="95" s="1"/>
  <c r="F54" i="95"/>
  <c r="D59" i="24"/>
  <c r="L59" i="24" s="1"/>
  <c r="L56" i="24"/>
  <c r="N56" i="24" s="1"/>
  <c r="N66" i="80"/>
  <c r="Z90" i="71"/>
  <c r="T93" i="71"/>
  <c r="V90" i="71"/>
  <c r="X36" i="41"/>
  <c r="Z64" i="58"/>
  <c r="L57" i="48"/>
  <c r="F57" i="48"/>
  <c r="P93" i="51"/>
  <c r="X90" i="51"/>
  <c r="Z90" i="51" s="1"/>
  <c r="R90" i="51"/>
  <c r="L36" i="7"/>
  <c r="P68" i="21"/>
  <c r="X68" i="21" s="1"/>
  <c r="X65" i="21"/>
  <c r="Z65" i="21" s="1"/>
  <c r="L36" i="98"/>
  <c r="H104" i="27"/>
  <c r="N101" i="27"/>
  <c r="J101" i="27"/>
  <c r="J57" i="95"/>
  <c r="P69" i="70"/>
  <c r="X66" i="70"/>
  <c r="Z66" i="70" s="1"/>
  <c r="R66" i="70"/>
  <c r="L84" i="9"/>
  <c r="N84" i="9" s="1"/>
  <c r="V93" i="71" l="1"/>
  <c r="L57" i="95"/>
  <c r="N57" i="95" s="1"/>
  <c r="F57" i="95"/>
  <c r="L72" i="33"/>
  <c r="F72" i="33"/>
  <c r="L36" i="75"/>
  <c r="N36" i="75" s="1"/>
  <c r="F36" i="75"/>
  <c r="N57" i="48"/>
  <c r="J57" i="48"/>
  <c r="N92" i="77"/>
  <c r="J92" i="77"/>
  <c r="J97" i="39"/>
  <c r="Z191" i="15"/>
  <c r="V191" i="15"/>
  <c r="L92" i="77"/>
  <c r="F92" i="77"/>
  <c r="X104" i="27"/>
  <c r="R104" i="27"/>
  <c r="Z69" i="70"/>
  <c r="V69" i="70"/>
  <c r="Z57" i="48"/>
  <c r="V57" i="48"/>
  <c r="X57" i="48"/>
  <c r="V72" i="90"/>
  <c r="X191" i="15"/>
  <c r="R191" i="15"/>
  <c r="V213" i="18"/>
  <c r="V93" i="51"/>
  <c r="Z48" i="67"/>
  <c r="X69" i="70"/>
  <c r="R69" i="70"/>
  <c r="X93" i="51"/>
  <c r="Z93" i="51" s="1"/>
  <c r="R93" i="51"/>
  <c r="X74" i="92"/>
  <c r="Z74" i="92" s="1"/>
  <c r="R74" i="92"/>
  <c r="N59" i="24"/>
  <c r="V121" i="69"/>
  <c r="J121" i="69"/>
  <c r="X93" i="71"/>
  <c r="Z93" i="71" s="1"/>
  <c r="R93" i="71"/>
  <c r="Z68" i="21"/>
  <c r="Z104" i="66"/>
  <c r="V104" i="66"/>
  <c r="Z92" i="77"/>
  <c r="V92" i="77"/>
  <c r="J104" i="27"/>
  <c r="Z104" i="27"/>
  <c r="V104" i="27"/>
  <c r="X121" i="69"/>
  <c r="Z121" i="69" s="1"/>
  <c r="R121" i="69"/>
  <c r="J104" i="66"/>
  <c r="J137" i="30"/>
  <c r="Z84" i="84"/>
  <c r="V137" i="30"/>
  <c r="V72" i="33"/>
  <c r="L121" i="69"/>
  <c r="N121" i="69" s="1"/>
  <c r="F121" i="69"/>
  <c r="X99" i="36"/>
  <c r="Z99" i="36" s="1"/>
  <c r="R99" i="36"/>
  <c r="J69" i="70"/>
  <c r="J93" i="51"/>
  <c r="N72" i="33"/>
  <c r="J72" i="33"/>
  <c r="L104" i="27"/>
  <c r="N104" i="27" s="1"/>
  <c r="F104" i="27"/>
  <c r="X82" i="45"/>
  <c r="Z82" i="45" s="1"/>
  <c r="R82" i="45"/>
  <c r="X72" i="33"/>
  <c r="Z72" i="33" s="1"/>
  <c r="R72" i="33"/>
  <c r="X213" i="18"/>
  <c r="Z213" i="18" s="1"/>
  <c r="R213" i="18"/>
  <c r="Z194" i="12"/>
  <c r="V194" i="12"/>
  <c r="J194" i="12"/>
  <c r="L230" i="3"/>
  <c r="N230" i="3" s="1"/>
  <c r="F230" i="3"/>
  <c r="X137" i="30"/>
  <c r="Z137" i="30" s="1"/>
  <c r="R137" i="30"/>
  <c r="L99" i="36"/>
  <c r="N99" i="36" s="1"/>
  <c r="F99" i="36"/>
  <c r="L213" i="18"/>
  <c r="N213" i="18" s="1"/>
  <c r="F213" i="18"/>
  <c r="L97" i="39"/>
  <c r="N97" i="39" s="1"/>
  <c r="F97" i="39"/>
  <c r="L194" i="12"/>
  <c r="N194" i="12" s="1"/>
  <c r="F194" i="12"/>
  <c r="L69" i="70"/>
  <c r="N69" i="70" s="1"/>
  <c r="F69" i="70"/>
  <c r="L191" i="15"/>
  <c r="N191" i="15" s="1"/>
  <c r="F191" i="15"/>
  <c r="X194" i="12"/>
  <c r="R194" i="12"/>
  <c r="N68" i="21"/>
  <c r="L93" i="51"/>
  <c r="N93" i="51" s="1"/>
  <c r="F93" i="51"/>
  <c r="X72" i="90"/>
  <c r="Z72" i="90" s="1"/>
  <c r="N93" i="71"/>
  <c r="J93" i="71"/>
  <c r="L74" i="92"/>
  <c r="N74" i="92" s="1"/>
  <c r="F74" i="92"/>
  <c r="L137" i="30"/>
  <c r="N137" i="30" s="1"/>
  <c r="F137" i="30"/>
  <c r="Z36" i="75"/>
  <c r="V36" i="75"/>
  <c r="L93" i="71"/>
  <c r="F93" i="71"/>
  <c r="L104" i="66"/>
  <c r="N104" i="66" s="1"/>
  <c r="F104" i="66"/>
</calcChain>
</file>

<file path=xl/sharedStrings.xml><?xml version="1.0" encoding="utf-8"?>
<sst xmlns="http://schemas.openxmlformats.org/spreadsheetml/2006/main" count="2818" uniqueCount="314">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</sst>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0" fillId="0" borderId="0" xfId="1" applyNumberFormat="1" applyFont="1" applyFill="1"/>
    <xf numFmtId="164" fontId="1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0" fillId="0" borderId="0" xfId="3" applyNumberFormat="1" applyFont="1" applyFill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0" fontId="0" fillId="0" borderId="0" xfId="0" applyFill="1"/>
    <xf numFmtId="0" fontId="2" fillId="0" borderId="0" xfId="0" applyFont="1" applyFill="1"/>
    <xf numFmtId="167" fontId="2" fillId="0" borderId="0" xfId="3" applyNumberFormat="1" applyFont="1" applyFill="1"/>
    <xf numFmtId="0" fontId="1" fillId="0" borderId="0" xfId="0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Continuous"/>
    </xf>
    <xf numFmtId="49" fontId="1" fillId="0" borderId="0" xfId="0" applyNumberFormat="1" applyFont="1" applyFill="1"/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0" fillId="0" borderId="0" xfId="0" applyBorder="1"/>
    <xf numFmtId="0" fontId="2" fillId="0" borderId="0" xfId="0" applyFont="1" applyAlignment="1">
      <alignment horizontal="left"/>
    </xf>
    <xf numFmtId="0" fontId="2" fillId="0" borderId="0" xfId="0" applyFont="1" applyFill="1" applyBorder="1"/>
    <xf numFmtId="49" fontId="2" fillId="2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165" fontId="0" fillId="0" borderId="0" xfId="0" applyNumberFormat="1"/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5" fillId="0" borderId="0" xfId="0" applyFont="1"/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80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80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5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6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124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124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504149.17999999993</v>
      </c>
      <c r="E12" s="4"/>
      <c r="F12" s="11"/>
      <c r="G12" s="4"/>
      <c r="H12" s="4">
        <f>SUM(OSRRefH13x_0)</f>
        <v>476908.15</v>
      </c>
      <c r="I12" s="4"/>
      <c r="J12" s="11"/>
      <c r="K12" s="4"/>
      <c r="L12" s="4">
        <f t="shared" ref="L12:L81" si="0">+D12-H12</f>
        <v>27241.029999999912</v>
      </c>
      <c r="M12" s="4"/>
      <c r="N12" s="11">
        <f t="shared" ref="N12:N81" si="1">IF(H12=0,0,L12/H12)</f>
        <v>5.7120076475941771E-2</v>
      </c>
      <c r="O12" s="10"/>
      <c r="P12" s="4">
        <f>SUM(OSRRefP13x_0)</f>
        <v>504149.17999999993</v>
      </c>
      <c r="Q12" s="4"/>
      <c r="R12" s="11"/>
      <c r="S12" s="4"/>
      <c r="T12" s="4">
        <f>SUM(OSRRefT13x_0)</f>
        <v>476908.15</v>
      </c>
      <c r="U12" s="4"/>
      <c r="V12" s="11"/>
      <c r="W12" s="4"/>
      <c r="X12" s="4">
        <f t="shared" ref="X12:X81" si="2">+P12-T12</f>
        <v>27241.029999999912</v>
      </c>
      <c r="Y12" s="4"/>
      <c r="Z12" s="11">
        <f t="shared" ref="Z12:Z81" si="3">IF(T12=0,0,X12/T12)</f>
        <v>5.7120076475941771E-2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--270004.59</f>
        <v>270004.59000000003</v>
      </c>
      <c r="E13" s="3"/>
      <c r="F13" s="22"/>
      <c r="G13" s="3"/>
      <c r="H13" s="3">
        <f>-11094.37</f>
        <v>-11094.37</v>
      </c>
      <c r="I13" s="3"/>
      <c r="J13" s="22"/>
      <c r="K13" s="3"/>
      <c r="L13" s="3">
        <f t="shared" si="0"/>
        <v>281098.96000000002</v>
      </c>
      <c r="M13" s="3"/>
      <c r="N13" s="22">
        <f t="shared" si="1"/>
        <v>-25.337081781119615</v>
      </c>
      <c r="O13" s="12"/>
      <c r="P13" s="3">
        <f>--270004.59</f>
        <v>270004.59000000003</v>
      </c>
      <c r="Q13" s="3"/>
      <c r="R13" s="22"/>
      <c r="S13" s="3"/>
      <c r="T13" s="3">
        <f>-11094.37</f>
        <v>-11094.37</v>
      </c>
      <c r="U13" s="3"/>
      <c r="V13" s="22"/>
      <c r="W13" s="3"/>
      <c r="X13" s="3">
        <f t="shared" si="2"/>
        <v>281098.96000000002</v>
      </c>
      <c r="Y13" s="3"/>
      <c r="Z13" s="22">
        <f t="shared" si="3"/>
        <v>-25.337081781119615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28" si="4">0</f>
        <v>0</v>
      </c>
      <c r="E14" s="3"/>
      <c r="F14" s="22"/>
      <c r="G14" s="3"/>
      <c r="H14" s="3">
        <f>--11947.85</f>
        <v>11947.85</v>
      </c>
      <c r="I14" s="3"/>
      <c r="J14" s="22"/>
      <c r="K14" s="3"/>
      <c r="L14" s="3">
        <f t="shared" si="0"/>
        <v>-11947.85</v>
      </c>
      <c r="M14" s="3"/>
      <c r="N14" s="22">
        <f t="shared" si="1"/>
        <v>-1</v>
      </c>
      <c r="O14" s="12"/>
      <c r="P14" s="3">
        <f t="shared" ref="P14:P28" si="5">0</f>
        <v>0</v>
      </c>
      <c r="Q14" s="3"/>
      <c r="R14" s="22"/>
      <c r="S14" s="3"/>
      <c r="T14" s="3">
        <f>--11947.85</f>
        <v>11947.85</v>
      </c>
      <c r="U14" s="3"/>
      <c r="V14" s="22"/>
      <c r="W14" s="3"/>
      <c r="X14" s="3">
        <f t="shared" si="2"/>
        <v>-11947.85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--13029.34</f>
        <v>13029.34</v>
      </c>
      <c r="I15" s="3"/>
      <c r="J15" s="22"/>
      <c r="K15" s="3"/>
      <c r="L15" s="3">
        <f t="shared" si="0"/>
        <v>-13029.34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--13029.34</f>
        <v>13029.34</v>
      </c>
      <c r="U15" s="3"/>
      <c r="V15" s="22"/>
      <c r="W15" s="3"/>
      <c r="X15" s="3">
        <f t="shared" si="2"/>
        <v>-13029.34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 t="shared" si="4"/>
        <v>0</v>
      </c>
      <c r="E18" s="3"/>
      <c r="F18" s="22"/>
      <c r="G18" s="3"/>
      <c r="H18" s="3">
        <f>--236.56</f>
        <v>236.56</v>
      </c>
      <c r="I18" s="3"/>
      <c r="J18" s="22"/>
      <c r="K18" s="3"/>
      <c r="L18" s="3">
        <f t="shared" si="0"/>
        <v>-236.56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--236.56</f>
        <v>236.56</v>
      </c>
      <c r="U18" s="3"/>
      <c r="V18" s="22"/>
      <c r="W18" s="3"/>
      <c r="X18" s="3">
        <f t="shared" si="2"/>
        <v>-236.56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 t="shared" si="4"/>
        <v>0</v>
      </c>
      <c r="E19" s="3"/>
      <c r="F19" s="22"/>
      <c r="G19" s="3"/>
      <c r="H19" s="3">
        <f>--1653.17</f>
        <v>1653.17</v>
      </c>
      <c r="I19" s="3"/>
      <c r="J19" s="22"/>
      <c r="K19" s="3"/>
      <c r="L19" s="3">
        <f t="shared" si="0"/>
        <v>-1653.17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--1653.17</f>
        <v>1653.17</v>
      </c>
      <c r="U19" s="3"/>
      <c r="V19" s="22"/>
      <c r="W19" s="3"/>
      <c r="X19" s="3">
        <f t="shared" si="2"/>
        <v>-1653.17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"4028", " - ", "TAXABLE SALES-ART/TECH")</f>
        <v xml:space="preserve">          4028 - TAXABLE SALES-ART/TECH</v>
      </c>
      <c r="C20" s="12"/>
      <c r="D20" s="3">
        <f t="shared" si="4"/>
        <v>0</v>
      </c>
      <c r="E20" s="3"/>
      <c r="F20" s="22"/>
      <c r="G20" s="3"/>
      <c r="H20" s="3">
        <f>--19.85</f>
        <v>19.850000000000001</v>
      </c>
      <c r="I20" s="3"/>
      <c r="J20" s="22"/>
      <c r="K20" s="3"/>
      <c r="L20" s="3">
        <f t="shared" si="0"/>
        <v>-19.850000000000001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--19.85</f>
        <v>19.850000000000001</v>
      </c>
      <c r="U20" s="3"/>
      <c r="V20" s="22"/>
      <c r="W20" s="3"/>
      <c r="X20" s="3">
        <f t="shared" si="2"/>
        <v>-19.850000000000001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"4031", " - ", "TAXABLE SALES-FOOD")</f>
        <v xml:space="preserve">          4031 - TAXABLE SALES-FOOD</v>
      </c>
      <c r="C21" s="12"/>
      <c r="D21" s="3">
        <f t="shared" si="4"/>
        <v>0</v>
      </c>
      <c r="E21" s="3"/>
      <c r="F21" s="22"/>
      <c r="G21" s="3"/>
      <c r="H21" s="3">
        <f>--19.75</f>
        <v>19.75</v>
      </c>
      <c r="I21" s="3"/>
      <c r="J21" s="22"/>
      <c r="K21" s="3"/>
      <c r="L21" s="3">
        <f t="shared" si="0"/>
        <v>-19.75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--19.75</f>
        <v>19.75</v>
      </c>
      <c r="U21" s="3"/>
      <c r="V21" s="22"/>
      <c r="W21" s="3"/>
      <c r="X21" s="3">
        <f t="shared" si="2"/>
        <v>-19.75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"4034", " - ", "TAXABLE SALES-SODA")</f>
        <v xml:space="preserve">          4034 - TAXABLE SALES-SODA</v>
      </c>
      <c r="C22" s="12"/>
      <c r="D22" s="3">
        <f t="shared" si="4"/>
        <v>0</v>
      </c>
      <c r="E22" s="3"/>
      <c r="F22" s="22"/>
      <c r="G22" s="3"/>
      <c r="H22" s="3">
        <f>--6.78</f>
        <v>6.78</v>
      </c>
      <c r="I22" s="3"/>
      <c r="J22" s="22"/>
      <c r="K22" s="3"/>
      <c r="L22" s="3">
        <f t="shared" si="0"/>
        <v>-6.78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--6.78</f>
        <v>6.78</v>
      </c>
      <c r="U22" s="3"/>
      <c r="V22" s="22"/>
      <c r="W22" s="3"/>
      <c r="X22" s="3">
        <f t="shared" si="2"/>
        <v>-6.78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"4040", " - ", "TAXABLE SALES-LOGO CLOTHING")</f>
        <v xml:space="preserve">          4040 - TAXABLE SALES-LOGO CLOTHING</v>
      </c>
      <c r="C23" s="12"/>
      <c r="D23" s="3">
        <f t="shared" si="4"/>
        <v>0</v>
      </c>
      <c r="E23" s="3"/>
      <c r="F23" s="22"/>
      <c r="G23" s="3"/>
      <c r="H23" s="3">
        <f>--72292.26</f>
        <v>72292.259999999995</v>
      </c>
      <c r="I23" s="3"/>
      <c r="J23" s="22"/>
      <c r="K23" s="3"/>
      <c r="L23" s="3">
        <f t="shared" si="0"/>
        <v>-72292.259999999995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--72292.26</f>
        <v>72292.259999999995</v>
      </c>
      <c r="U23" s="3"/>
      <c r="V23" s="22"/>
      <c r="W23" s="3"/>
      <c r="X23" s="3">
        <f t="shared" si="2"/>
        <v>-72292.259999999995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"4041", " - ", "TAXABLE SALES-LOGO GIFTS")</f>
        <v xml:space="preserve">          4041 - TAXABLE SALES-LOGO GIFTS</v>
      </c>
      <c r="C24" s="12"/>
      <c r="D24" s="3">
        <f t="shared" si="4"/>
        <v>0</v>
      </c>
      <c r="E24" s="3"/>
      <c r="F24" s="22"/>
      <c r="G24" s="3"/>
      <c r="H24" s="3">
        <f>--21188.91</f>
        <v>21188.91</v>
      </c>
      <c r="I24" s="3"/>
      <c r="J24" s="22"/>
      <c r="K24" s="3"/>
      <c r="L24" s="3">
        <f t="shared" si="0"/>
        <v>-21188.91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--21188.91</f>
        <v>21188.91</v>
      </c>
      <c r="U24" s="3"/>
      <c r="V24" s="22"/>
      <c r="W24" s="3"/>
      <c r="X24" s="3">
        <f t="shared" si="2"/>
        <v>-21188.91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"4042", " - ", "TAXABLE SALES-EVERYDAY GIFTS")</f>
        <v xml:space="preserve">          4042 - TAXABLE SALES-EVERYDAY GIFTS</v>
      </c>
      <c r="C25" s="12"/>
      <c r="D25" s="3">
        <f t="shared" si="4"/>
        <v>0</v>
      </c>
      <c r="E25" s="3"/>
      <c r="F25" s="22"/>
      <c r="G25" s="3"/>
      <c r="H25" s="3">
        <f>--9503.9</f>
        <v>9503.9</v>
      </c>
      <c r="I25" s="3"/>
      <c r="J25" s="22"/>
      <c r="K25" s="3"/>
      <c r="L25" s="3">
        <f t="shared" si="0"/>
        <v>-9503.9</v>
      </c>
      <c r="M25" s="3"/>
      <c r="N25" s="22">
        <f t="shared" si="1"/>
        <v>-1</v>
      </c>
      <c r="O25" s="12"/>
      <c r="P25" s="3">
        <f t="shared" si="5"/>
        <v>0</v>
      </c>
      <c r="Q25" s="3"/>
      <c r="R25" s="22"/>
      <c r="S25" s="3"/>
      <c r="T25" s="3">
        <f>--9503.9</f>
        <v>9503.9</v>
      </c>
      <c r="U25" s="3"/>
      <c r="V25" s="22"/>
      <c r="W25" s="3"/>
      <c r="X25" s="3">
        <f t="shared" si="2"/>
        <v>-9503.9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"4043", " - ", "TAXABLE SALES-CARDS")</f>
        <v xml:space="preserve">          4043 - TAXABLE SALES-CARDS</v>
      </c>
      <c r="C26" s="12"/>
      <c r="D26" s="3">
        <f t="shared" si="4"/>
        <v>0</v>
      </c>
      <c r="E26" s="3"/>
      <c r="F26" s="22"/>
      <c r="G26" s="3"/>
      <c r="H26" s="3">
        <f>--217.36</f>
        <v>217.36</v>
      </c>
      <c r="I26" s="3"/>
      <c r="J26" s="22"/>
      <c r="K26" s="3"/>
      <c r="L26" s="3">
        <f t="shared" si="0"/>
        <v>-217.36</v>
      </c>
      <c r="M26" s="3"/>
      <c r="N26" s="22">
        <f t="shared" si="1"/>
        <v>-1</v>
      </c>
      <c r="O26" s="12"/>
      <c r="P26" s="3">
        <f t="shared" si="5"/>
        <v>0</v>
      </c>
      <c r="Q26" s="3"/>
      <c r="R26" s="22"/>
      <c r="S26" s="3"/>
      <c r="T26" s="3">
        <f>--217.36</f>
        <v>217.36</v>
      </c>
      <c r="U26" s="3"/>
      <c r="V26" s="22"/>
      <c r="W26" s="3"/>
      <c r="X26" s="3">
        <f t="shared" si="2"/>
        <v>-217.36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"4044", " - ", "TAXABLE SALES-ACCESSORIES")</f>
        <v xml:space="preserve">          4044 - TAXABLE SALES-ACCESSORIES</v>
      </c>
      <c r="C27" s="12"/>
      <c r="D27" s="3">
        <f t="shared" si="4"/>
        <v>0</v>
      </c>
      <c r="E27" s="3"/>
      <c r="F27" s="22"/>
      <c r="G27" s="3"/>
      <c r="H27" s="3">
        <f>--1800.68</f>
        <v>1800.68</v>
      </c>
      <c r="I27" s="3"/>
      <c r="J27" s="22"/>
      <c r="K27" s="3"/>
      <c r="L27" s="3">
        <f t="shared" si="0"/>
        <v>-1800.68</v>
      </c>
      <c r="M27" s="3"/>
      <c r="N27" s="22">
        <f t="shared" si="1"/>
        <v>-1</v>
      </c>
      <c r="O27" s="12"/>
      <c r="P27" s="3">
        <f t="shared" si="5"/>
        <v>0</v>
      </c>
      <c r="Q27" s="3"/>
      <c r="R27" s="22"/>
      <c r="S27" s="3"/>
      <c r="T27" s="3">
        <f>--1800.68</f>
        <v>1800.68</v>
      </c>
      <c r="U27" s="3"/>
      <c r="V27" s="22"/>
      <c r="W27" s="3"/>
      <c r="X27" s="3">
        <f t="shared" si="2"/>
        <v>-1800.68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"4045", " - ", "TAXABLE SALES-SPECIAL ORDERS")</f>
        <v xml:space="preserve">          4045 - TAXABLE SALES-SPECIAL ORDERS</v>
      </c>
      <c r="C28" s="12"/>
      <c r="D28" s="3">
        <f t="shared" si="4"/>
        <v>0</v>
      </c>
      <c r="E28" s="3"/>
      <c r="F28" s="22"/>
      <c r="G28" s="3"/>
      <c r="H28" s="3">
        <f>--43426.73</f>
        <v>43426.73</v>
      </c>
      <c r="I28" s="3"/>
      <c r="J28" s="22"/>
      <c r="K28" s="3"/>
      <c r="L28" s="3">
        <f t="shared" si="0"/>
        <v>-43426.73</v>
      </c>
      <c r="M28" s="3"/>
      <c r="N28" s="22">
        <f t="shared" si="1"/>
        <v>-1</v>
      </c>
      <c r="O28" s="12"/>
      <c r="P28" s="3">
        <f t="shared" si="5"/>
        <v>0</v>
      </c>
      <c r="Q28" s="3"/>
      <c r="R28" s="22"/>
      <c r="S28" s="3"/>
      <c r="T28" s="3">
        <f>--43426.73</f>
        <v>43426.73</v>
      </c>
      <c r="U28" s="3"/>
      <c r="V28" s="22"/>
      <c r="W28" s="3"/>
      <c r="X28" s="3">
        <f t="shared" si="2"/>
        <v>-43426.73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"4051", " - ", "TAXABLE SALES-FOOD")</f>
        <v xml:space="preserve">          4051 - TAXABLE SALES-FOOD</v>
      </c>
      <c r="C29" s="12"/>
      <c r="D29" s="3">
        <f>--10630.93</f>
        <v>10630.93</v>
      </c>
      <c r="E29" s="3"/>
      <c r="F29" s="22"/>
      <c r="G29" s="3"/>
      <c r="H29" s="3">
        <f>0</f>
        <v>0</v>
      </c>
      <c r="I29" s="3"/>
      <c r="J29" s="22"/>
      <c r="K29" s="3"/>
      <c r="L29" s="3">
        <f t="shared" si="0"/>
        <v>10630.93</v>
      </c>
      <c r="M29" s="3"/>
      <c r="N29" s="22">
        <f t="shared" si="1"/>
        <v>0</v>
      </c>
      <c r="O29" s="12"/>
      <c r="P29" s="3">
        <f>--10630.93</f>
        <v>10630.93</v>
      </c>
      <c r="Q29" s="3"/>
      <c r="R29" s="22"/>
      <c r="S29" s="3"/>
      <c r="T29" s="3">
        <f>0</f>
        <v>0</v>
      </c>
      <c r="U29" s="3"/>
      <c r="V29" s="22"/>
      <c r="W29" s="3"/>
      <c r="X29" s="3">
        <f t="shared" si="2"/>
        <v>10630.93</v>
      </c>
      <c r="Y29" s="3"/>
      <c r="Z29" s="22">
        <f t="shared" si="3"/>
        <v>0</v>
      </c>
    </row>
    <row r="30" spans="1:26" s="24" customFormat="1" hidden="1" outlineLevel="1" x14ac:dyDescent="0.3">
      <c r="A30" s="50"/>
      <c r="B30" s="12" t="str">
        <f>CONCATENATE("          ", "4053", " - ", "TAXABLE SALES-FOOD")</f>
        <v xml:space="preserve">          4053 - TAXABLE SALES-FOOD</v>
      </c>
      <c r="C30" s="12"/>
      <c r="D30" s="3">
        <f>--106.64</f>
        <v>106.64</v>
      </c>
      <c r="E30" s="3"/>
      <c r="F30" s="22"/>
      <c r="G30" s="3"/>
      <c r="H30" s="3">
        <f>--199.89</f>
        <v>199.89</v>
      </c>
      <c r="I30" s="3"/>
      <c r="J30" s="22"/>
      <c r="K30" s="3"/>
      <c r="L30" s="3">
        <f t="shared" si="0"/>
        <v>-93.249999999999986</v>
      </c>
      <c r="M30" s="3"/>
      <c r="N30" s="22">
        <f t="shared" si="1"/>
        <v>-0.46650657861824002</v>
      </c>
      <c r="O30" s="12"/>
      <c r="P30" s="3">
        <f>--106.64</f>
        <v>106.64</v>
      </c>
      <c r="Q30" s="3"/>
      <c r="R30" s="22"/>
      <c r="S30" s="3"/>
      <c r="T30" s="3">
        <f>--199.89</f>
        <v>199.89</v>
      </c>
      <c r="U30" s="3"/>
      <c r="V30" s="22"/>
      <c r="W30" s="3"/>
      <c r="X30" s="3">
        <f t="shared" si="2"/>
        <v>-93.249999999999986</v>
      </c>
      <c r="Y30" s="3"/>
      <c r="Z30" s="22">
        <f t="shared" si="3"/>
        <v>-0.46650657861824002</v>
      </c>
    </row>
    <row r="31" spans="1:26" s="24" customFormat="1" hidden="1" outlineLevel="1" x14ac:dyDescent="0.3">
      <c r="A31" s="50"/>
      <c r="B31" s="12" t="str">
        <f>CONCATENATE("          ", "4058", " - ", "TAXABLE SALES-FOOD")</f>
        <v xml:space="preserve">          4058 - TAXABLE SALES-FOOD</v>
      </c>
      <c r="C31" s="12"/>
      <c r="D31" s="3">
        <f t="shared" ref="D31:D36" si="6">0</f>
        <v>0</v>
      </c>
      <c r="E31" s="3"/>
      <c r="F31" s="22"/>
      <c r="G31" s="3"/>
      <c r="H31" s="3">
        <f>--974.91</f>
        <v>974.91</v>
      </c>
      <c r="I31" s="3"/>
      <c r="J31" s="22"/>
      <c r="K31" s="3"/>
      <c r="L31" s="3">
        <f t="shared" si="0"/>
        <v>-974.91</v>
      </c>
      <c r="M31" s="3"/>
      <c r="N31" s="22">
        <f t="shared" si="1"/>
        <v>-1</v>
      </c>
      <c r="O31" s="12"/>
      <c r="P31" s="3">
        <f t="shared" ref="P31:P36" si="7">0</f>
        <v>0</v>
      </c>
      <c r="Q31" s="3"/>
      <c r="R31" s="22"/>
      <c r="S31" s="3"/>
      <c r="T31" s="3">
        <f>--974.91</f>
        <v>974.91</v>
      </c>
      <c r="U31" s="3"/>
      <c r="V31" s="22"/>
      <c r="W31" s="3"/>
      <c r="X31" s="3">
        <f t="shared" si="2"/>
        <v>-974.91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"4081", " - ", "TAXABLE SALES-ELECTRONICS")</f>
        <v xml:space="preserve">          4081 - TAXABLE SALES-ELECTRONICS</v>
      </c>
      <c r="C32" s="12"/>
      <c r="D32" s="3">
        <f t="shared" si="6"/>
        <v>0</v>
      </c>
      <c r="E32" s="3"/>
      <c r="F32" s="22"/>
      <c r="G32" s="3"/>
      <c r="H32" s="3">
        <f>--21557.16</f>
        <v>21557.16</v>
      </c>
      <c r="I32" s="3"/>
      <c r="J32" s="22"/>
      <c r="K32" s="3"/>
      <c r="L32" s="3">
        <f t="shared" si="0"/>
        <v>-21557.16</v>
      </c>
      <c r="M32" s="3"/>
      <c r="N32" s="22">
        <f t="shared" si="1"/>
        <v>-1</v>
      </c>
      <c r="O32" s="12"/>
      <c r="P32" s="3">
        <f t="shared" si="7"/>
        <v>0</v>
      </c>
      <c r="Q32" s="3"/>
      <c r="R32" s="22"/>
      <c r="S32" s="3"/>
      <c r="T32" s="3">
        <f>--21557.16</f>
        <v>21557.16</v>
      </c>
      <c r="U32" s="3"/>
      <c r="V32" s="22"/>
      <c r="W32" s="3"/>
      <c r="X32" s="3">
        <f t="shared" si="2"/>
        <v>-21557.16</v>
      </c>
      <c r="Y32" s="3"/>
      <c r="Z32" s="22">
        <f t="shared" si="3"/>
        <v>-1</v>
      </c>
    </row>
    <row r="33" spans="1:26" s="24" customFormat="1" hidden="1" outlineLevel="1" x14ac:dyDescent="0.3">
      <c r="A33" s="50"/>
      <c r="B33" s="12" t="str">
        <f>CONCATENATE("          ", "4082", " - ", "TAXABLE SALES-COMPUTER HARDWAR")</f>
        <v xml:space="preserve">          4082 - TAXABLE SALES-COMPUTER HARDWAR</v>
      </c>
      <c r="C33" s="12"/>
      <c r="D33" s="3">
        <f t="shared" si="6"/>
        <v>0</v>
      </c>
      <c r="E33" s="3"/>
      <c r="F33" s="22"/>
      <c r="G33" s="3"/>
      <c r="H33" s="3">
        <f>--137228.87</f>
        <v>137228.87</v>
      </c>
      <c r="I33" s="3"/>
      <c r="J33" s="22"/>
      <c r="K33" s="3"/>
      <c r="L33" s="3">
        <f t="shared" si="0"/>
        <v>-137228.87</v>
      </c>
      <c r="M33" s="3"/>
      <c r="N33" s="22">
        <f t="shared" si="1"/>
        <v>-1</v>
      </c>
      <c r="O33" s="12"/>
      <c r="P33" s="3">
        <f t="shared" si="7"/>
        <v>0</v>
      </c>
      <c r="Q33" s="3"/>
      <c r="R33" s="22"/>
      <c r="S33" s="3"/>
      <c r="T33" s="3">
        <f>--137228.87</f>
        <v>137228.87</v>
      </c>
      <c r="U33" s="3"/>
      <c r="V33" s="22"/>
      <c r="W33" s="3"/>
      <c r="X33" s="3">
        <f t="shared" si="2"/>
        <v>-137228.87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"4083", " - ", "TAXABLE SALES-COMPUTER EQUIPME")</f>
        <v xml:space="preserve">          4083 - TAXABLE SALES-COMPUTER EQUIPME</v>
      </c>
      <c r="C34" s="12"/>
      <c r="D34" s="3">
        <f t="shared" si="6"/>
        <v>0</v>
      </c>
      <c r="E34" s="3"/>
      <c r="F34" s="22"/>
      <c r="G34" s="3"/>
      <c r="H34" s="3">
        <f>--6790.15</f>
        <v>6790.15</v>
      </c>
      <c r="I34" s="3"/>
      <c r="J34" s="22"/>
      <c r="K34" s="3"/>
      <c r="L34" s="3">
        <f t="shared" si="0"/>
        <v>-6790.15</v>
      </c>
      <c r="M34" s="3"/>
      <c r="N34" s="22">
        <f t="shared" si="1"/>
        <v>-1</v>
      </c>
      <c r="O34" s="12"/>
      <c r="P34" s="3">
        <f t="shared" si="7"/>
        <v>0</v>
      </c>
      <c r="Q34" s="3"/>
      <c r="R34" s="22"/>
      <c r="S34" s="3"/>
      <c r="T34" s="3">
        <f>--6790.15</f>
        <v>6790.15</v>
      </c>
      <c r="U34" s="3"/>
      <c r="V34" s="22"/>
      <c r="W34" s="3"/>
      <c r="X34" s="3">
        <f t="shared" si="2"/>
        <v>-6790.15</v>
      </c>
      <c r="Y34" s="3"/>
      <c r="Z34" s="22">
        <f t="shared" si="3"/>
        <v>-1</v>
      </c>
    </row>
    <row r="35" spans="1:26" s="24" customFormat="1" hidden="1" outlineLevel="1" x14ac:dyDescent="0.3">
      <c r="A35" s="50"/>
      <c r="B35" s="12" t="str">
        <f>CONCATENATE("          ", "4085", " - ", "TAXABLE SALES-SOFTWARE")</f>
        <v xml:space="preserve">          4085 - TAXABLE SALES-SOFTWARE</v>
      </c>
      <c r="C35" s="12"/>
      <c r="D35" s="3">
        <f t="shared" si="6"/>
        <v>0</v>
      </c>
      <c r="E35" s="3"/>
      <c r="F35" s="22"/>
      <c r="G35" s="3"/>
      <c r="H35" s="3">
        <f>0</f>
        <v>0</v>
      </c>
      <c r="I35" s="3"/>
      <c r="J35" s="22"/>
      <c r="K35" s="3"/>
      <c r="L35" s="3">
        <f t="shared" si="0"/>
        <v>0</v>
      </c>
      <c r="M35" s="3"/>
      <c r="N35" s="22">
        <f t="shared" si="1"/>
        <v>0</v>
      </c>
      <c r="O35" s="12"/>
      <c r="P35" s="3">
        <f t="shared" si="7"/>
        <v>0</v>
      </c>
      <c r="Q35" s="3"/>
      <c r="R35" s="22"/>
      <c r="S35" s="3"/>
      <c r="T35" s="3">
        <f>0</f>
        <v>0</v>
      </c>
      <c r="U35" s="3"/>
      <c r="V35" s="22"/>
      <c r="W35" s="3"/>
      <c r="X35" s="3">
        <f t="shared" si="2"/>
        <v>0</v>
      </c>
      <c r="Y35" s="3"/>
      <c r="Z35" s="22">
        <f t="shared" si="3"/>
        <v>0</v>
      </c>
    </row>
    <row r="36" spans="1:26" s="24" customFormat="1" hidden="1" outlineLevel="1" x14ac:dyDescent="0.3">
      <c r="A36" s="50"/>
      <c r="B36" s="12" t="str">
        <f>CONCATENATE("          ", "4086", " - ", "TAXABLE SALES-COMPUTER SUPPLIE")</f>
        <v xml:space="preserve">          4086 - TAXABLE SALES-COMPUTER SUPPLIE</v>
      </c>
      <c r="C36" s="12"/>
      <c r="D36" s="3">
        <f t="shared" si="6"/>
        <v>0</v>
      </c>
      <c r="E36" s="3"/>
      <c r="F36" s="22"/>
      <c r="G36" s="3"/>
      <c r="H36" s="3">
        <f>--25959.21</f>
        <v>25959.21</v>
      </c>
      <c r="I36" s="3"/>
      <c r="J36" s="22"/>
      <c r="K36" s="3"/>
      <c r="L36" s="3">
        <f t="shared" si="0"/>
        <v>-25959.21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--25959.21</f>
        <v>25959.21</v>
      </c>
      <c r="U36" s="3"/>
      <c r="V36" s="22"/>
      <c r="W36" s="3"/>
      <c r="X36" s="3">
        <f t="shared" si="2"/>
        <v>-25959.21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"4100", " - ", "NON-TAXABLE SALES")</f>
        <v xml:space="preserve">          4100 - NON-TAXABLE SALES</v>
      </c>
      <c r="C37" s="12"/>
      <c r="D37" s="3">
        <f>--225721.52</f>
        <v>225721.52</v>
      </c>
      <c r="E37" s="3"/>
      <c r="F37" s="22"/>
      <c r="G37" s="3"/>
      <c r="H37" s="3">
        <f>--24009.3</f>
        <v>24009.3</v>
      </c>
      <c r="I37" s="3"/>
      <c r="J37" s="22"/>
      <c r="K37" s="3"/>
      <c r="L37" s="3">
        <f t="shared" si="0"/>
        <v>201712.22</v>
      </c>
      <c r="M37" s="3"/>
      <c r="N37" s="22">
        <f t="shared" si="1"/>
        <v>8.4014202829736817</v>
      </c>
      <c r="O37" s="12"/>
      <c r="P37" s="3">
        <f>--225721.52</f>
        <v>225721.52</v>
      </c>
      <c r="Q37" s="3"/>
      <c r="R37" s="22"/>
      <c r="S37" s="3"/>
      <c r="T37" s="3">
        <f>--24009.3</f>
        <v>24009.3</v>
      </c>
      <c r="U37" s="3"/>
      <c r="V37" s="22"/>
      <c r="W37" s="3"/>
      <c r="X37" s="3">
        <f t="shared" si="2"/>
        <v>201712.22</v>
      </c>
      <c r="Y37" s="3"/>
      <c r="Z37" s="22">
        <f t="shared" si="3"/>
        <v>8.4014202829736817</v>
      </c>
    </row>
    <row r="38" spans="1:26" s="24" customFormat="1" hidden="1" outlineLevel="1" x14ac:dyDescent="0.3">
      <c r="A38" s="50"/>
      <c r="B38" s="12" t="str">
        <f>CONCATENATE("          ", "4101", " - ", "NON-TAXABLE SALES-NEW TEXT")</f>
        <v xml:space="preserve">          4101 - NON-TAXABLE SALES-NEW TEXT</v>
      </c>
      <c r="C38" s="12"/>
      <c r="D38" s="3">
        <f t="shared" ref="D38:D53" si="8">0</f>
        <v>0</v>
      </c>
      <c r="E38" s="3"/>
      <c r="F38" s="22"/>
      <c r="G38" s="3"/>
      <c r="H38" s="3">
        <f>--10341.86</f>
        <v>10341.86</v>
      </c>
      <c r="I38" s="3"/>
      <c r="J38" s="22"/>
      <c r="K38" s="3"/>
      <c r="L38" s="3">
        <f t="shared" si="0"/>
        <v>-10341.86</v>
      </c>
      <c r="M38" s="3"/>
      <c r="N38" s="22">
        <f t="shared" si="1"/>
        <v>-1</v>
      </c>
      <c r="O38" s="12"/>
      <c r="P38" s="3">
        <f t="shared" ref="P38:P53" si="9">0</f>
        <v>0</v>
      </c>
      <c r="Q38" s="3"/>
      <c r="R38" s="22"/>
      <c r="S38" s="3"/>
      <c r="T38" s="3">
        <f>--10341.86</f>
        <v>10341.86</v>
      </c>
      <c r="U38" s="3"/>
      <c r="V38" s="22"/>
      <c r="W38" s="3"/>
      <c r="X38" s="3">
        <f t="shared" si="2"/>
        <v>-10341.86</v>
      </c>
      <c r="Y38" s="3"/>
      <c r="Z38" s="22">
        <f t="shared" si="3"/>
        <v>-1</v>
      </c>
    </row>
    <row r="39" spans="1:26" s="24" customFormat="1" hidden="1" outlineLevel="1" x14ac:dyDescent="0.3">
      <c r="A39" s="50"/>
      <c r="B39" s="12" t="str">
        <f>CONCATENATE("          ", "4102", " - ", "NON-TAXABLE SALES-USED TEXT")</f>
        <v xml:space="preserve">          4102 - NON-TAXABLE SALES-USED TEXT</v>
      </c>
      <c r="C39" s="12"/>
      <c r="D39" s="3">
        <f t="shared" si="8"/>
        <v>0</v>
      </c>
      <c r="E39" s="3"/>
      <c r="F39" s="22"/>
      <c r="G39" s="3"/>
      <c r="H39" s="3">
        <f>--4190.44</f>
        <v>4190.4399999999996</v>
      </c>
      <c r="I39" s="3"/>
      <c r="J39" s="22"/>
      <c r="K39" s="3"/>
      <c r="L39" s="3">
        <f t="shared" si="0"/>
        <v>-4190.4399999999996</v>
      </c>
      <c r="M39" s="3"/>
      <c r="N39" s="22">
        <f t="shared" si="1"/>
        <v>-1</v>
      </c>
      <c r="O39" s="12"/>
      <c r="P39" s="3">
        <f t="shared" si="9"/>
        <v>0</v>
      </c>
      <c r="Q39" s="3"/>
      <c r="R39" s="22"/>
      <c r="S39" s="3"/>
      <c r="T39" s="3">
        <f>--4190.44</f>
        <v>4190.4399999999996</v>
      </c>
      <c r="U39" s="3"/>
      <c r="V39" s="22"/>
      <c r="W39" s="3"/>
      <c r="X39" s="3">
        <f t="shared" si="2"/>
        <v>-4190.4399999999996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"4104", " - ", "NON-TAXABLE SALES-DIGITAL TEXT")</f>
        <v xml:space="preserve">          4104 - NON-TAXABLE SALES-DIGITAL TEXT</v>
      </c>
      <c r="C40" s="12"/>
      <c r="D40" s="3">
        <f t="shared" si="8"/>
        <v>0</v>
      </c>
      <c r="E40" s="3"/>
      <c r="F40" s="22"/>
      <c r="G40" s="3"/>
      <c r="H40" s="3">
        <f>--7485.52</f>
        <v>7485.52</v>
      </c>
      <c r="I40" s="3"/>
      <c r="J40" s="22"/>
      <c r="K40" s="3"/>
      <c r="L40" s="3">
        <f t="shared" si="0"/>
        <v>-7485.52</v>
      </c>
      <c r="M40" s="3"/>
      <c r="N40" s="22">
        <f t="shared" si="1"/>
        <v>-1</v>
      </c>
      <c r="O40" s="12"/>
      <c r="P40" s="3">
        <f t="shared" si="9"/>
        <v>0</v>
      </c>
      <c r="Q40" s="3"/>
      <c r="R40" s="22"/>
      <c r="S40" s="3"/>
      <c r="T40" s="3">
        <f>--7485.52</f>
        <v>7485.52</v>
      </c>
      <c r="U40" s="3"/>
      <c r="V40" s="22"/>
      <c r="W40" s="3"/>
      <c r="X40" s="3">
        <f t="shared" si="2"/>
        <v>-7485.52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"4118", " - ", "NON-TAXABLE SALES-STUDY GUIDES")</f>
        <v xml:space="preserve">          4118 - NON-TAXABLE SALES-STUDY GUIDES</v>
      </c>
      <c r="C41" s="12"/>
      <c r="D41" s="3">
        <f t="shared" si="8"/>
        <v>0</v>
      </c>
      <c r="E41" s="3"/>
      <c r="F41" s="22"/>
      <c r="G41" s="3"/>
      <c r="H41" s="3">
        <f>--53.96</f>
        <v>53.96</v>
      </c>
      <c r="I41" s="3"/>
      <c r="J41" s="22"/>
      <c r="K41" s="3"/>
      <c r="L41" s="3">
        <f t="shared" si="0"/>
        <v>-53.96</v>
      </c>
      <c r="M41" s="3"/>
      <c r="N41" s="22">
        <f t="shared" si="1"/>
        <v>-1</v>
      </c>
      <c r="O41" s="12"/>
      <c r="P41" s="3">
        <f t="shared" si="9"/>
        <v>0</v>
      </c>
      <c r="Q41" s="3"/>
      <c r="R41" s="22"/>
      <c r="S41" s="3"/>
      <c r="T41" s="3">
        <f>--53.96</f>
        <v>53.96</v>
      </c>
      <c r="U41" s="3"/>
      <c r="V41" s="22"/>
      <c r="W41" s="3"/>
      <c r="X41" s="3">
        <f t="shared" si="2"/>
        <v>-53.96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"4126", " - ", "NON-TAXABLE SALES-WRITING INST")</f>
        <v xml:space="preserve">          4126 - NON-TAXABLE SALES-WRITING INST</v>
      </c>
      <c r="C42" s="12"/>
      <c r="D42" s="3">
        <f t="shared" si="8"/>
        <v>0</v>
      </c>
      <c r="E42" s="3"/>
      <c r="F42" s="22"/>
      <c r="G42" s="3"/>
      <c r="H42" s="3">
        <f>--52.68</f>
        <v>52.68</v>
      </c>
      <c r="I42" s="3"/>
      <c r="J42" s="22"/>
      <c r="K42" s="3"/>
      <c r="L42" s="3">
        <f t="shared" si="0"/>
        <v>-52.68</v>
      </c>
      <c r="M42" s="3"/>
      <c r="N42" s="22">
        <f t="shared" si="1"/>
        <v>-1</v>
      </c>
      <c r="O42" s="12"/>
      <c r="P42" s="3">
        <f t="shared" si="9"/>
        <v>0</v>
      </c>
      <c r="Q42" s="3"/>
      <c r="R42" s="22"/>
      <c r="S42" s="3"/>
      <c r="T42" s="3">
        <f>--52.68</f>
        <v>52.68</v>
      </c>
      <c r="U42" s="3"/>
      <c r="V42" s="22"/>
      <c r="W42" s="3"/>
      <c r="X42" s="3">
        <f t="shared" si="2"/>
        <v>-52.68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"4127", " - ", "NON-TAXABLE SALES-SCHOOL SUPPL")</f>
        <v xml:space="preserve">          4127 - NON-TAXABLE SALES-SCHOOL SUPPL</v>
      </c>
      <c r="C43" s="12"/>
      <c r="D43" s="3">
        <f t="shared" si="8"/>
        <v>0</v>
      </c>
      <c r="E43" s="3"/>
      <c r="F43" s="22"/>
      <c r="G43" s="3"/>
      <c r="H43" s="3">
        <f>--72.25</f>
        <v>72.25</v>
      </c>
      <c r="I43" s="3"/>
      <c r="J43" s="22"/>
      <c r="K43" s="3"/>
      <c r="L43" s="3">
        <f t="shared" si="0"/>
        <v>-72.25</v>
      </c>
      <c r="M43" s="3"/>
      <c r="N43" s="22">
        <f t="shared" si="1"/>
        <v>-1</v>
      </c>
      <c r="O43" s="12"/>
      <c r="P43" s="3">
        <f t="shared" si="9"/>
        <v>0</v>
      </c>
      <c r="Q43" s="3"/>
      <c r="R43" s="22"/>
      <c r="S43" s="3"/>
      <c r="T43" s="3">
        <f>--72.25</f>
        <v>72.25</v>
      </c>
      <c r="U43" s="3"/>
      <c r="V43" s="22"/>
      <c r="W43" s="3"/>
      <c r="X43" s="3">
        <f t="shared" si="2"/>
        <v>-72.25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"4131", " - ", "NON-TAXABLE SALES-FOOD")</f>
        <v xml:space="preserve">          4131 - NON-TAXABLE SALES-FOOD</v>
      </c>
      <c r="C44" s="12"/>
      <c r="D44" s="3">
        <f t="shared" si="8"/>
        <v>0</v>
      </c>
      <c r="E44" s="3"/>
      <c r="F44" s="22"/>
      <c r="G44" s="3"/>
      <c r="H44" s="3">
        <f>--259.43</f>
        <v>259.43</v>
      </c>
      <c r="I44" s="3"/>
      <c r="J44" s="22"/>
      <c r="K44" s="3"/>
      <c r="L44" s="3">
        <f t="shared" si="0"/>
        <v>-259.43</v>
      </c>
      <c r="M44" s="3"/>
      <c r="N44" s="22">
        <f t="shared" si="1"/>
        <v>-1</v>
      </c>
      <c r="O44" s="12"/>
      <c r="P44" s="3">
        <f t="shared" si="9"/>
        <v>0</v>
      </c>
      <c r="Q44" s="3"/>
      <c r="R44" s="22"/>
      <c r="S44" s="3"/>
      <c r="T44" s="3">
        <f>--259.43</f>
        <v>259.43</v>
      </c>
      <c r="U44" s="3"/>
      <c r="V44" s="22"/>
      <c r="W44" s="3"/>
      <c r="X44" s="3">
        <f t="shared" si="2"/>
        <v>-259.43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"4132", " - ", "NON-TAXABLE SALES-JUICE")</f>
        <v xml:space="preserve">          4132 - NON-TAXABLE SALES-JUICE</v>
      </c>
      <c r="C45" s="12"/>
      <c r="D45" s="3">
        <f t="shared" si="8"/>
        <v>0</v>
      </c>
      <c r="E45" s="3"/>
      <c r="F45" s="22"/>
      <c r="G45" s="3"/>
      <c r="H45" s="3">
        <f>--22.49</f>
        <v>22.49</v>
      </c>
      <c r="I45" s="3"/>
      <c r="J45" s="22"/>
      <c r="K45" s="3"/>
      <c r="L45" s="3">
        <f t="shared" si="0"/>
        <v>-22.49</v>
      </c>
      <c r="M45" s="3"/>
      <c r="N45" s="22">
        <f t="shared" si="1"/>
        <v>-1</v>
      </c>
      <c r="O45" s="12"/>
      <c r="P45" s="3">
        <f t="shared" si="9"/>
        <v>0</v>
      </c>
      <c r="Q45" s="3"/>
      <c r="R45" s="22"/>
      <c r="S45" s="3"/>
      <c r="T45" s="3">
        <f>--22.49</f>
        <v>22.49</v>
      </c>
      <c r="U45" s="3"/>
      <c r="V45" s="22"/>
      <c r="W45" s="3"/>
      <c r="X45" s="3">
        <f t="shared" si="2"/>
        <v>-22.49</v>
      </c>
      <c r="Y45" s="3"/>
      <c r="Z45" s="22">
        <f t="shared" si="3"/>
        <v>-1</v>
      </c>
    </row>
    <row r="46" spans="1:26" s="24" customFormat="1" hidden="1" outlineLevel="1" x14ac:dyDescent="0.3">
      <c r="A46" s="50"/>
      <c r="B46" s="12" t="str">
        <f>CONCATENATE("          ", "4133", " - ", "NON-TAXABLE SALES-CANDY")</f>
        <v xml:space="preserve">          4133 - NON-TAXABLE SALES-CANDY</v>
      </c>
      <c r="C46" s="12"/>
      <c r="D46" s="3">
        <f t="shared" si="8"/>
        <v>0</v>
      </c>
      <c r="E46" s="3"/>
      <c r="F46" s="22"/>
      <c r="G46" s="3"/>
      <c r="H46" s="3">
        <f>--68.28</f>
        <v>68.28</v>
      </c>
      <c r="I46" s="3"/>
      <c r="J46" s="22"/>
      <c r="K46" s="3"/>
      <c r="L46" s="3">
        <f t="shared" si="0"/>
        <v>-68.28</v>
      </c>
      <c r="M46" s="3"/>
      <c r="N46" s="22">
        <f t="shared" si="1"/>
        <v>-1</v>
      </c>
      <c r="O46" s="12"/>
      <c r="P46" s="3">
        <f t="shared" si="9"/>
        <v>0</v>
      </c>
      <c r="Q46" s="3"/>
      <c r="R46" s="22"/>
      <c r="S46" s="3"/>
      <c r="T46" s="3">
        <f>--68.28</f>
        <v>68.28</v>
      </c>
      <c r="U46" s="3"/>
      <c r="V46" s="22"/>
      <c r="W46" s="3"/>
      <c r="X46" s="3">
        <f t="shared" si="2"/>
        <v>-68.28</v>
      </c>
      <c r="Y46" s="3"/>
      <c r="Z46" s="22">
        <f t="shared" si="3"/>
        <v>-1</v>
      </c>
    </row>
    <row r="47" spans="1:26" s="24" customFormat="1" hidden="1" outlineLevel="1" x14ac:dyDescent="0.3">
      <c r="A47" s="50"/>
      <c r="B47" s="12" t="str">
        <f>CONCATENATE("          ", "4134", " - ", "NON-TAXABLE SALES-SODA")</f>
        <v xml:space="preserve">          4134 - NON-TAXABLE SALES-SODA</v>
      </c>
      <c r="C47" s="12"/>
      <c r="D47" s="3">
        <f t="shared" si="8"/>
        <v>0</v>
      </c>
      <c r="E47" s="3"/>
      <c r="F47" s="22"/>
      <c r="G47" s="3"/>
      <c r="H47" s="3">
        <f>--45.53</f>
        <v>45.53</v>
      </c>
      <c r="I47" s="3"/>
      <c r="J47" s="22"/>
      <c r="K47" s="3"/>
      <c r="L47" s="3">
        <f t="shared" si="0"/>
        <v>-45.53</v>
      </c>
      <c r="M47" s="3"/>
      <c r="N47" s="22">
        <f t="shared" si="1"/>
        <v>-1</v>
      </c>
      <c r="O47" s="12"/>
      <c r="P47" s="3">
        <f t="shared" si="9"/>
        <v>0</v>
      </c>
      <c r="Q47" s="3"/>
      <c r="R47" s="22"/>
      <c r="S47" s="3"/>
      <c r="T47" s="3">
        <f>--45.53</f>
        <v>45.53</v>
      </c>
      <c r="U47" s="3"/>
      <c r="V47" s="22"/>
      <c r="W47" s="3"/>
      <c r="X47" s="3">
        <f t="shared" si="2"/>
        <v>-45.53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"4137", " - ", "NON-TAXABLE SALES-WATER")</f>
        <v xml:space="preserve">          4137 - NON-TAXABLE SALES-WATER</v>
      </c>
      <c r="C48" s="12"/>
      <c r="D48" s="3">
        <f t="shared" si="8"/>
        <v>0</v>
      </c>
      <c r="E48" s="3"/>
      <c r="F48" s="22"/>
      <c r="G48" s="3"/>
      <c r="H48" s="3">
        <f>--68.25</f>
        <v>68.25</v>
      </c>
      <c r="I48" s="3"/>
      <c r="J48" s="22"/>
      <c r="K48" s="3"/>
      <c r="L48" s="3">
        <f t="shared" si="0"/>
        <v>-68.25</v>
      </c>
      <c r="M48" s="3"/>
      <c r="N48" s="22">
        <f t="shared" si="1"/>
        <v>-1</v>
      </c>
      <c r="O48" s="12"/>
      <c r="P48" s="3">
        <f t="shared" si="9"/>
        <v>0</v>
      </c>
      <c r="Q48" s="3"/>
      <c r="R48" s="22"/>
      <c r="S48" s="3"/>
      <c r="T48" s="3">
        <f>--68.25</f>
        <v>68.25</v>
      </c>
      <c r="U48" s="3"/>
      <c r="V48" s="22"/>
      <c r="W48" s="3"/>
      <c r="X48" s="3">
        <f t="shared" si="2"/>
        <v>-68.25</v>
      </c>
      <c r="Y48" s="3"/>
      <c r="Z48" s="22">
        <f t="shared" si="3"/>
        <v>-1</v>
      </c>
    </row>
    <row r="49" spans="1:26" s="24" customFormat="1" hidden="1" outlineLevel="1" x14ac:dyDescent="0.3">
      <c r="A49" s="50"/>
      <c r="B49" s="12" t="str">
        <f>CONCATENATE("          ", "4140", " - ", "NON-TAXABLE SALES-LOGO CLOTHIN")</f>
        <v xml:space="preserve">          4140 - NON-TAXABLE SALES-LOGO CLOTHIN</v>
      </c>
      <c r="C49" s="12"/>
      <c r="D49" s="3">
        <f t="shared" si="8"/>
        <v>0</v>
      </c>
      <c r="E49" s="3"/>
      <c r="F49" s="22"/>
      <c r="G49" s="3"/>
      <c r="H49" s="3">
        <f>--6846.24</f>
        <v>6846.24</v>
      </c>
      <c r="I49" s="3"/>
      <c r="J49" s="22"/>
      <c r="K49" s="3"/>
      <c r="L49" s="3">
        <f t="shared" si="0"/>
        <v>-6846.24</v>
      </c>
      <c r="M49" s="3"/>
      <c r="N49" s="22">
        <f t="shared" si="1"/>
        <v>-1</v>
      </c>
      <c r="O49" s="12"/>
      <c r="P49" s="3">
        <f t="shared" si="9"/>
        <v>0</v>
      </c>
      <c r="Q49" s="3"/>
      <c r="R49" s="22"/>
      <c r="S49" s="3"/>
      <c r="T49" s="3">
        <f>--6846.24</f>
        <v>6846.24</v>
      </c>
      <c r="U49" s="3"/>
      <c r="V49" s="22"/>
      <c r="W49" s="3"/>
      <c r="X49" s="3">
        <f t="shared" si="2"/>
        <v>-6846.24</v>
      </c>
      <c r="Y49" s="3"/>
      <c r="Z49" s="22">
        <f t="shared" si="3"/>
        <v>-1</v>
      </c>
    </row>
    <row r="50" spans="1:26" s="24" customFormat="1" hidden="1" outlineLevel="1" x14ac:dyDescent="0.3">
      <c r="A50" s="50"/>
      <c r="B50" s="12" t="str">
        <f>CONCATENATE("          ", "4141", " - ", "NON-TAXABLE SALES-LOGO GIFTS")</f>
        <v xml:space="preserve">          4141 - NON-TAXABLE SALES-LOGO GIFTS</v>
      </c>
      <c r="C50" s="12"/>
      <c r="D50" s="3">
        <f t="shared" si="8"/>
        <v>0</v>
      </c>
      <c r="E50" s="3"/>
      <c r="F50" s="22"/>
      <c r="G50" s="3"/>
      <c r="H50" s="3">
        <f>--1200.19</f>
        <v>1200.19</v>
      </c>
      <c r="I50" s="3"/>
      <c r="J50" s="22"/>
      <c r="K50" s="3"/>
      <c r="L50" s="3">
        <f t="shared" si="0"/>
        <v>-1200.19</v>
      </c>
      <c r="M50" s="3"/>
      <c r="N50" s="22">
        <f t="shared" si="1"/>
        <v>-1</v>
      </c>
      <c r="O50" s="12"/>
      <c r="P50" s="3">
        <f t="shared" si="9"/>
        <v>0</v>
      </c>
      <c r="Q50" s="3"/>
      <c r="R50" s="22"/>
      <c r="S50" s="3"/>
      <c r="T50" s="3">
        <f>--1200.19</f>
        <v>1200.19</v>
      </c>
      <c r="U50" s="3"/>
      <c r="V50" s="22"/>
      <c r="W50" s="3"/>
      <c r="X50" s="3">
        <f t="shared" si="2"/>
        <v>-1200.19</v>
      </c>
      <c r="Y50" s="3"/>
      <c r="Z50" s="22">
        <f t="shared" si="3"/>
        <v>-1</v>
      </c>
    </row>
    <row r="51" spans="1:26" s="24" customFormat="1" hidden="1" outlineLevel="1" x14ac:dyDescent="0.3">
      <c r="A51" s="50"/>
      <c r="B51" s="12" t="str">
        <f>CONCATENATE("          ", "4142", " - ", "NON-TAXABLE SALES-EVERYDAY GIF")</f>
        <v xml:space="preserve">          4142 - NON-TAXABLE SALES-EVERYDAY GIF</v>
      </c>
      <c r="C51" s="12"/>
      <c r="D51" s="3">
        <f t="shared" si="8"/>
        <v>0</v>
      </c>
      <c r="E51" s="3"/>
      <c r="F51" s="22"/>
      <c r="G51" s="3"/>
      <c r="H51" s="3">
        <f>--640.17</f>
        <v>640.16999999999996</v>
      </c>
      <c r="I51" s="3"/>
      <c r="J51" s="22"/>
      <c r="K51" s="3"/>
      <c r="L51" s="3">
        <f t="shared" si="0"/>
        <v>-640.16999999999996</v>
      </c>
      <c r="M51" s="3"/>
      <c r="N51" s="22">
        <f t="shared" si="1"/>
        <v>-1</v>
      </c>
      <c r="O51" s="12"/>
      <c r="P51" s="3">
        <f t="shared" si="9"/>
        <v>0</v>
      </c>
      <c r="Q51" s="3"/>
      <c r="R51" s="22"/>
      <c r="S51" s="3"/>
      <c r="T51" s="3">
        <f>--640.17</f>
        <v>640.16999999999996</v>
      </c>
      <c r="U51" s="3"/>
      <c r="V51" s="22"/>
      <c r="W51" s="3"/>
      <c r="X51" s="3">
        <f t="shared" si="2"/>
        <v>-640.16999999999996</v>
      </c>
      <c r="Y51" s="3"/>
      <c r="Z51" s="22">
        <f t="shared" si="3"/>
        <v>-1</v>
      </c>
    </row>
    <row r="52" spans="1:26" s="24" customFormat="1" hidden="1" outlineLevel="1" x14ac:dyDescent="0.3">
      <c r="A52" s="50"/>
      <c r="B52" s="12" t="str">
        <f>CONCATENATE("          ", "4144", " - ", "NON-TAXABLE SALES-ACCESSORIES")</f>
        <v xml:space="preserve">          4144 - NON-TAXABLE SALES-ACCESSORIES</v>
      </c>
      <c r="C52" s="12"/>
      <c r="D52" s="3">
        <f t="shared" si="8"/>
        <v>0</v>
      </c>
      <c r="E52" s="3"/>
      <c r="F52" s="22"/>
      <c r="G52" s="3"/>
      <c r="H52" s="3">
        <f>--47.85</f>
        <v>47.85</v>
      </c>
      <c r="I52" s="3"/>
      <c r="J52" s="22"/>
      <c r="K52" s="3"/>
      <c r="L52" s="3">
        <f t="shared" si="0"/>
        <v>-47.85</v>
      </c>
      <c r="M52" s="3"/>
      <c r="N52" s="22">
        <f t="shared" si="1"/>
        <v>-1</v>
      </c>
      <c r="O52" s="12"/>
      <c r="P52" s="3">
        <f t="shared" si="9"/>
        <v>0</v>
      </c>
      <c r="Q52" s="3"/>
      <c r="R52" s="22"/>
      <c r="S52" s="3"/>
      <c r="T52" s="3">
        <f>--47.85</f>
        <v>47.85</v>
      </c>
      <c r="U52" s="3"/>
      <c r="V52" s="22"/>
      <c r="W52" s="3"/>
      <c r="X52" s="3">
        <f t="shared" si="2"/>
        <v>-47.85</v>
      </c>
      <c r="Y52" s="3"/>
      <c r="Z52" s="22">
        <f t="shared" si="3"/>
        <v>-1</v>
      </c>
    </row>
    <row r="53" spans="1:26" s="24" customFormat="1" hidden="1" outlineLevel="1" x14ac:dyDescent="0.3">
      <c r="A53" s="50"/>
      <c r="B53" s="12" t="str">
        <f>CONCATENATE("          ", "4145", " - ", "NON-TAXABLE SALES-SPECIAL ORDE")</f>
        <v xml:space="preserve">          4145 - NON-TAXABLE SALES-SPECIAL ORDE</v>
      </c>
      <c r="C53" s="12"/>
      <c r="D53" s="3">
        <f t="shared" si="8"/>
        <v>0</v>
      </c>
      <c r="E53" s="3"/>
      <c r="F53" s="22"/>
      <c r="G53" s="3"/>
      <c r="H53" s="3">
        <f>--35496</f>
        <v>35496</v>
      </c>
      <c r="I53" s="3"/>
      <c r="J53" s="22"/>
      <c r="K53" s="3"/>
      <c r="L53" s="3">
        <f t="shared" si="0"/>
        <v>-35496</v>
      </c>
      <c r="M53" s="3"/>
      <c r="N53" s="22">
        <f t="shared" si="1"/>
        <v>-1</v>
      </c>
      <c r="O53" s="12"/>
      <c r="P53" s="3">
        <f t="shared" si="9"/>
        <v>0</v>
      </c>
      <c r="Q53" s="3"/>
      <c r="R53" s="22"/>
      <c r="S53" s="3"/>
      <c r="T53" s="3">
        <f>--35496</f>
        <v>35496</v>
      </c>
      <c r="U53" s="3"/>
      <c r="V53" s="22"/>
      <c r="W53" s="3"/>
      <c r="X53" s="3">
        <f t="shared" si="2"/>
        <v>-35496</v>
      </c>
      <c r="Y53" s="3"/>
      <c r="Z53" s="22">
        <f t="shared" si="3"/>
        <v>-1</v>
      </c>
    </row>
    <row r="54" spans="1:26" s="24" customFormat="1" hidden="1" outlineLevel="1" x14ac:dyDescent="0.3">
      <c r="A54" s="50"/>
      <c r="B54" s="12" t="str">
        <f>CONCATENATE("          ", "4146", " - ", "NON-TAXABLE SALES-COIN OP MACH")</f>
        <v xml:space="preserve">          4146 - NON-TAXABLE SALES-COIN OP MACH</v>
      </c>
      <c r="C54" s="12"/>
      <c r="D54" s="3">
        <f>--20.2</f>
        <v>20.2</v>
      </c>
      <c r="E54" s="3"/>
      <c r="F54" s="22"/>
      <c r="G54" s="3"/>
      <c r="H54" s="3">
        <f>0</f>
        <v>0</v>
      </c>
      <c r="I54" s="3"/>
      <c r="J54" s="22"/>
      <c r="K54" s="3"/>
      <c r="L54" s="3">
        <f t="shared" si="0"/>
        <v>20.2</v>
      </c>
      <c r="M54" s="3"/>
      <c r="N54" s="22">
        <f t="shared" si="1"/>
        <v>0</v>
      </c>
      <c r="O54" s="12"/>
      <c r="P54" s="3">
        <f>--20.2</f>
        <v>20.2</v>
      </c>
      <c r="Q54" s="3"/>
      <c r="R54" s="22"/>
      <c r="S54" s="3"/>
      <c r="T54" s="3">
        <f>0</f>
        <v>0</v>
      </c>
      <c r="U54" s="3"/>
      <c r="V54" s="22"/>
      <c r="W54" s="3"/>
      <c r="X54" s="3">
        <f t="shared" si="2"/>
        <v>20.2</v>
      </c>
      <c r="Y54" s="3"/>
      <c r="Z54" s="22">
        <f t="shared" si="3"/>
        <v>0</v>
      </c>
    </row>
    <row r="55" spans="1:26" s="24" customFormat="1" hidden="1" outlineLevel="1" x14ac:dyDescent="0.3">
      <c r="A55" s="50"/>
      <c r="B55" s="12" t="str">
        <f>CONCATENATE("          ", "4147", " - ", "NON-TAXABLE SALES-MISC")</f>
        <v xml:space="preserve">          4147 - NON-TAXABLE SALES-MISC</v>
      </c>
      <c r="C55" s="12"/>
      <c r="D55" s="3">
        <f>0</f>
        <v>0</v>
      </c>
      <c r="E55" s="3"/>
      <c r="F55" s="22"/>
      <c r="G55" s="3"/>
      <c r="H55" s="3">
        <f>--1</f>
        <v>1</v>
      </c>
      <c r="I55" s="3"/>
      <c r="J55" s="22"/>
      <c r="K55" s="3"/>
      <c r="L55" s="3">
        <f t="shared" si="0"/>
        <v>-1</v>
      </c>
      <c r="M55" s="3"/>
      <c r="N55" s="22">
        <f t="shared" si="1"/>
        <v>-1</v>
      </c>
      <c r="O55" s="12"/>
      <c r="P55" s="3">
        <f>0</f>
        <v>0</v>
      </c>
      <c r="Q55" s="3"/>
      <c r="R55" s="22"/>
      <c r="S55" s="3"/>
      <c r="T55" s="3">
        <f>--1</f>
        <v>1</v>
      </c>
      <c r="U55" s="3"/>
      <c r="V55" s="22"/>
      <c r="W55" s="3"/>
      <c r="X55" s="3">
        <f t="shared" si="2"/>
        <v>-1</v>
      </c>
      <c r="Y55" s="3"/>
      <c r="Z55" s="22">
        <f t="shared" si="3"/>
        <v>-1</v>
      </c>
    </row>
    <row r="56" spans="1:26" s="24" customFormat="1" hidden="1" outlineLevel="1" x14ac:dyDescent="0.3">
      <c r="A56" s="50"/>
      <c r="B56" s="12" t="str">
        <f>CONCATENATE("          ", "4151", " - ", "NON-TAXABLE SALES-FOOD")</f>
        <v xml:space="preserve">          4151 - NON-TAXABLE SALES-FOOD</v>
      </c>
      <c r="C56" s="12"/>
      <c r="D56" s="3">
        <f>--28671.38</f>
        <v>28671.38</v>
      </c>
      <c r="E56" s="3"/>
      <c r="F56" s="22"/>
      <c r="G56" s="3"/>
      <c r="H56" s="3">
        <f>--1300</f>
        <v>1300</v>
      </c>
      <c r="I56" s="3"/>
      <c r="J56" s="22"/>
      <c r="K56" s="3"/>
      <c r="L56" s="3">
        <f t="shared" si="0"/>
        <v>27371.38</v>
      </c>
      <c r="M56" s="3"/>
      <c r="N56" s="22">
        <f t="shared" si="1"/>
        <v>21.054907692307694</v>
      </c>
      <c r="O56" s="12"/>
      <c r="P56" s="3">
        <f>--28671.38</f>
        <v>28671.38</v>
      </c>
      <c r="Q56" s="3"/>
      <c r="R56" s="22"/>
      <c r="S56" s="3"/>
      <c r="T56" s="3">
        <f>--1300</f>
        <v>1300</v>
      </c>
      <c r="U56" s="3"/>
      <c r="V56" s="22"/>
      <c r="W56" s="3"/>
      <c r="X56" s="3">
        <f t="shared" si="2"/>
        <v>27371.38</v>
      </c>
      <c r="Y56" s="3"/>
      <c r="Z56" s="22">
        <f t="shared" si="3"/>
        <v>21.054907692307694</v>
      </c>
    </row>
    <row r="57" spans="1:26" s="24" customFormat="1" hidden="1" outlineLevel="1" x14ac:dyDescent="0.3">
      <c r="A57" s="50"/>
      <c r="B57" s="12" t="str">
        <f>CONCATENATE("          ", "4153", " - ", "NON-TAXABLE SALES-FOOD")</f>
        <v xml:space="preserve">          4153 - NON-TAXABLE SALES-FOOD</v>
      </c>
      <c r="C57" s="12"/>
      <c r="D57" s="3">
        <f>--3280.71</f>
        <v>3280.71</v>
      </c>
      <c r="E57" s="3"/>
      <c r="F57" s="22"/>
      <c r="G57" s="3"/>
      <c r="H57" s="3">
        <f>--17828.03</f>
        <v>17828.03</v>
      </c>
      <c r="I57" s="3"/>
      <c r="J57" s="22"/>
      <c r="K57" s="3"/>
      <c r="L57" s="3">
        <f t="shared" si="0"/>
        <v>-14547.32</v>
      </c>
      <c r="M57" s="3"/>
      <c r="N57" s="22">
        <f t="shared" si="1"/>
        <v>-0.8159802288867587</v>
      </c>
      <c r="O57" s="12"/>
      <c r="P57" s="3">
        <f>--3280.71</f>
        <v>3280.71</v>
      </c>
      <c r="Q57" s="3"/>
      <c r="R57" s="22"/>
      <c r="S57" s="3"/>
      <c r="T57" s="3">
        <f>--17828.03</f>
        <v>17828.03</v>
      </c>
      <c r="U57" s="3"/>
      <c r="V57" s="22"/>
      <c r="W57" s="3"/>
      <c r="X57" s="3">
        <f t="shared" si="2"/>
        <v>-14547.32</v>
      </c>
      <c r="Y57" s="3"/>
      <c r="Z57" s="22">
        <f t="shared" si="3"/>
        <v>-0.8159802288867587</v>
      </c>
    </row>
    <row r="58" spans="1:26" s="24" customFormat="1" hidden="1" outlineLevel="1" x14ac:dyDescent="0.3">
      <c r="A58" s="50"/>
      <c r="B58" s="12" t="str">
        <f>CONCATENATE("          ", "4181", " - ", "NON-TAXABLE SALES-ELECTRONICS")</f>
        <v xml:space="preserve">          4181 - NON-TAXABLE SALES-ELECTRONICS</v>
      </c>
      <c r="C58" s="12"/>
      <c r="D58" s="3">
        <f t="shared" ref="D58:D62" si="10">0</f>
        <v>0</v>
      </c>
      <c r="E58" s="3"/>
      <c r="F58" s="22"/>
      <c r="G58" s="3"/>
      <c r="H58" s="3">
        <f>--289.98</f>
        <v>289.98</v>
      </c>
      <c r="I58" s="3"/>
      <c r="J58" s="22"/>
      <c r="K58" s="3"/>
      <c r="L58" s="3">
        <f t="shared" si="0"/>
        <v>-289.98</v>
      </c>
      <c r="M58" s="3"/>
      <c r="N58" s="22">
        <f t="shared" si="1"/>
        <v>-1</v>
      </c>
      <c r="O58" s="12"/>
      <c r="P58" s="3">
        <f t="shared" ref="P58:P62" si="11">0</f>
        <v>0</v>
      </c>
      <c r="Q58" s="3"/>
      <c r="R58" s="22"/>
      <c r="S58" s="3"/>
      <c r="T58" s="3">
        <f>--289.98</f>
        <v>289.98</v>
      </c>
      <c r="U58" s="3"/>
      <c r="V58" s="22"/>
      <c r="W58" s="3"/>
      <c r="X58" s="3">
        <f t="shared" si="2"/>
        <v>-289.98</v>
      </c>
      <c r="Y58" s="3"/>
      <c r="Z58" s="22">
        <f t="shared" si="3"/>
        <v>-1</v>
      </c>
    </row>
    <row r="59" spans="1:26" s="24" customFormat="1" hidden="1" outlineLevel="1" x14ac:dyDescent="0.3">
      <c r="A59" s="50"/>
      <c r="B59" s="12" t="str">
        <f>CONCATENATE("          ", "4182", " - ", "NON-TAXABLE SALES-COMPUTER HAR")</f>
        <v xml:space="preserve">          4182 - NON-TAXABLE SALES-COMPUTER HAR</v>
      </c>
      <c r="C59" s="12"/>
      <c r="D59" s="3">
        <f t="shared" si="10"/>
        <v>0</v>
      </c>
      <c r="E59" s="3"/>
      <c r="F59" s="22"/>
      <c r="G59" s="3"/>
      <c r="H59" s="3">
        <f>--35876.99</f>
        <v>35876.99</v>
      </c>
      <c r="I59" s="3"/>
      <c r="J59" s="22"/>
      <c r="K59" s="3"/>
      <c r="L59" s="3">
        <f t="shared" si="0"/>
        <v>-35876.99</v>
      </c>
      <c r="M59" s="3"/>
      <c r="N59" s="22">
        <f t="shared" si="1"/>
        <v>-1</v>
      </c>
      <c r="O59" s="12"/>
      <c r="P59" s="3">
        <f t="shared" si="11"/>
        <v>0</v>
      </c>
      <c r="Q59" s="3"/>
      <c r="R59" s="22"/>
      <c r="S59" s="3"/>
      <c r="T59" s="3">
        <f>--35876.99</f>
        <v>35876.99</v>
      </c>
      <c r="U59" s="3"/>
      <c r="V59" s="22"/>
      <c r="W59" s="3"/>
      <c r="X59" s="3">
        <f t="shared" si="2"/>
        <v>-35876.99</v>
      </c>
      <c r="Y59" s="3"/>
      <c r="Z59" s="22">
        <f t="shared" si="3"/>
        <v>-1</v>
      </c>
    </row>
    <row r="60" spans="1:26" s="24" customFormat="1" hidden="1" outlineLevel="1" x14ac:dyDescent="0.3">
      <c r="A60" s="50"/>
      <c r="B60" s="12" t="str">
        <f>CONCATENATE("          ", "4183", " - ", "NON-TAXABLE SALES-COMPUTER EQU")</f>
        <v xml:space="preserve">          4183 - NON-TAXABLE SALES-COMPUTER EQU</v>
      </c>
      <c r="C60" s="12"/>
      <c r="D60" s="3">
        <f t="shared" si="10"/>
        <v>0</v>
      </c>
      <c r="E60" s="3"/>
      <c r="F60" s="22"/>
      <c r="G60" s="3"/>
      <c r="H60" s="3">
        <f>--1359.85</f>
        <v>1359.85</v>
      </c>
      <c r="I60" s="3"/>
      <c r="J60" s="22"/>
      <c r="K60" s="3"/>
      <c r="L60" s="3">
        <f t="shared" si="0"/>
        <v>-1359.85</v>
      </c>
      <c r="M60" s="3"/>
      <c r="N60" s="22">
        <f t="shared" si="1"/>
        <v>-1</v>
      </c>
      <c r="O60" s="12"/>
      <c r="P60" s="3">
        <f t="shared" si="11"/>
        <v>0</v>
      </c>
      <c r="Q60" s="3"/>
      <c r="R60" s="22"/>
      <c r="S60" s="3"/>
      <c r="T60" s="3">
        <f>--1359.85</f>
        <v>1359.85</v>
      </c>
      <c r="U60" s="3"/>
      <c r="V60" s="22"/>
      <c r="W60" s="3"/>
      <c r="X60" s="3">
        <f t="shared" si="2"/>
        <v>-1359.85</v>
      </c>
      <c r="Y60" s="3"/>
      <c r="Z60" s="22">
        <f t="shared" si="3"/>
        <v>-1</v>
      </c>
    </row>
    <row r="61" spans="1:26" s="24" customFormat="1" hidden="1" outlineLevel="1" x14ac:dyDescent="0.3">
      <c r="A61" s="50"/>
      <c r="B61" s="12" t="str">
        <f>CONCATENATE("          ", "4185", " - ", "NON-TAXABLE SALES-SOFTWARE")</f>
        <v xml:space="preserve">          4185 - NON-TAXABLE SALES-SOFTWARE</v>
      </c>
      <c r="C61" s="12"/>
      <c r="D61" s="3">
        <f t="shared" si="10"/>
        <v>0</v>
      </c>
      <c r="E61" s="3"/>
      <c r="F61" s="22"/>
      <c r="G61" s="3"/>
      <c r="H61" s="3">
        <f>--6187.74</f>
        <v>6187.74</v>
      </c>
      <c r="I61" s="3"/>
      <c r="J61" s="22"/>
      <c r="K61" s="3"/>
      <c r="L61" s="3">
        <f t="shared" si="0"/>
        <v>-6187.74</v>
      </c>
      <c r="M61" s="3"/>
      <c r="N61" s="22">
        <f t="shared" si="1"/>
        <v>-1</v>
      </c>
      <c r="O61" s="12"/>
      <c r="P61" s="3">
        <f t="shared" si="11"/>
        <v>0</v>
      </c>
      <c r="Q61" s="3"/>
      <c r="R61" s="22"/>
      <c r="S61" s="3"/>
      <c r="T61" s="3">
        <f>--6187.74</f>
        <v>6187.74</v>
      </c>
      <c r="U61" s="3"/>
      <c r="V61" s="22"/>
      <c r="W61" s="3"/>
      <c r="X61" s="3">
        <f t="shared" si="2"/>
        <v>-6187.74</v>
      </c>
      <c r="Y61" s="3"/>
      <c r="Z61" s="22">
        <f t="shared" si="3"/>
        <v>-1</v>
      </c>
    </row>
    <row r="62" spans="1:26" s="24" customFormat="1" hidden="1" outlineLevel="1" x14ac:dyDescent="0.3">
      <c r="A62" s="50"/>
      <c r="B62" s="12" t="str">
        <f>CONCATENATE("          ", "4186", " - ", "NON-TAXABLE SALES-COMPUTER SUP")</f>
        <v xml:space="preserve">          4186 - NON-TAXABLE SALES-COMPUTER SUP</v>
      </c>
      <c r="C62" s="12"/>
      <c r="D62" s="3">
        <f t="shared" si="10"/>
        <v>0</v>
      </c>
      <c r="E62" s="3"/>
      <c r="F62" s="22"/>
      <c r="G62" s="3"/>
      <c r="H62" s="3">
        <f>--154.95</f>
        <v>154.94999999999999</v>
      </c>
      <c r="I62" s="3"/>
      <c r="J62" s="22"/>
      <c r="K62" s="3"/>
      <c r="L62" s="3">
        <f t="shared" si="0"/>
        <v>-154.94999999999999</v>
      </c>
      <c r="M62" s="3"/>
      <c r="N62" s="22">
        <f t="shared" si="1"/>
        <v>-1</v>
      </c>
      <c r="O62" s="12"/>
      <c r="P62" s="3">
        <f t="shared" si="11"/>
        <v>0</v>
      </c>
      <c r="Q62" s="3"/>
      <c r="R62" s="22"/>
      <c r="S62" s="3"/>
      <c r="T62" s="3">
        <f>--154.95</f>
        <v>154.94999999999999</v>
      </c>
      <c r="U62" s="3"/>
      <c r="V62" s="22"/>
      <c r="W62" s="3"/>
      <c r="X62" s="3">
        <f t="shared" si="2"/>
        <v>-154.94999999999999</v>
      </c>
      <c r="Y62" s="3"/>
      <c r="Z62" s="22">
        <f t="shared" si="3"/>
        <v>-1</v>
      </c>
    </row>
    <row r="63" spans="1:26" s="24" customFormat="1" hidden="1" outlineLevel="1" x14ac:dyDescent="0.3">
      <c r="A63" s="50"/>
      <c r="B63" s="12" t="str">
        <f>CONCATENATE("          ", "4200", " - ", "TAXABLE RETURNS")</f>
        <v xml:space="preserve">          4200 - TAXABLE RETURNS</v>
      </c>
      <c r="C63" s="12"/>
      <c r="D63" s="3">
        <f>-32785.21</f>
        <v>-32785.21</v>
      </c>
      <c r="E63" s="3"/>
      <c r="F63" s="22"/>
      <c r="G63" s="3"/>
      <c r="H63" s="3">
        <f>0</f>
        <v>0</v>
      </c>
      <c r="I63" s="3"/>
      <c r="J63" s="22"/>
      <c r="K63" s="3"/>
      <c r="L63" s="3">
        <f t="shared" si="0"/>
        <v>-32785.21</v>
      </c>
      <c r="M63" s="3"/>
      <c r="N63" s="22">
        <f t="shared" si="1"/>
        <v>0</v>
      </c>
      <c r="O63" s="12"/>
      <c r="P63" s="3">
        <f>-32785.21</f>
        <v>-32785.21</v>
      </c>
      <c r="Q63" s="3"/>
      <c r="R63" s="22"/>
      <c r="S63" s="3"/>
      <c r="T63" s="3">
        <f>0</f>
        <v>0</v>
      </c>
      <c r="U63" s="3"/>
      <c r="V63" s="22"/>
      <c r="W63" s="3"/>
      <c r="X63" s="3">
        <f t="shared" si="2"/>
        <v>-32785.21</v>
      </c>
      <c r="Y63" s="3"/>
      <c r="Z63" s="22">
        <f t="shared" si="3"/>
        <v>0</v>
      </c>
    </row>
    <row r="64" spans="1:26" s="24" customFormat="1" hidden="1" outlineLevel="1" x14ac:dyDescent="0.3">
      <c r="A64" s="50"/>
      <c r="B64" s="12" t="str">
        <f>CONCATENATE("          ", "4201", " - ", "SALES RETURN TAXABLE-NEW TEXT")</f>
        <v xml:space="preserve">          4201 - SALES RETURN TAXABLE-NEW TEXT</v>
      </c>
      <c r="C64" s="12"/>
      <c r="D64" s="3">
        <f t="shared" ref="D64:D74" si="12">0</f>
        <v>0</v>
      </c>
      <c r="E64" s="3"/>
      <c r="F64" s="22"/>
      <c r="G64" s="3"/>
      <c r="H64" s="3">
        <f>-633.4</f>
        <v>-633.4</v>
      </c>
      <c r="I64" s="3"/>
      <c r="J64" s="22"/>
      <c r="K64" s="3"/>
      <c r="L64" s="3">
        <f t="shared" si="0"/>
        <v>633.4</v>
      </c>
      <c r="M64" s="3"/>
      <c r="N64" s="22">
        <f t="shared" si="1"/>
        <v>-1</v>
      </c>
      <c r="O64" s="12"/>
      <c r="P64" s="3">
        <f t="shared" ref="P64:P74" si="13">0</f>
        <v>0</v>
      </c>
      <c r="Q64" s="3"/>
      <c r="R64" s="22"/>
      <c r="S64" s="3"/>
      <c r="T64" s="3">
        <f>-633.4</f>
        <v>-633.4</v>
      </c>
      <c r="U64" s="3"/>
      <c r="V64" s="22"/>
      <c r="W64" s="3"/>
      <c r="X64" s="3">
        <f t="shared" si="2"/>
        <v>633.4</v>
      </c>
      <c r="Y64" s="3"/>
      <c r="Z64" s="22">
        <f t="shared" si="3"/>
        <v>-1</v>
      </c>
    </row>
    <row r="65" spans="1:26" s="24" customFormat="1" hidden="1" outlineLevel="1" x14ac:dyDescent="0.3">
      <c r="A65" s="50"/>
      <c r="B65" s="12" t="str">
        <f>CONCATENATE("          ", "4202", " - ", "SALES RETURN TAXABLE-USED TEXT")</f>
        <v xml:space="preserve">          4202 - SALES RETURN TAXABLE-USED TEXT</v>
      </c>
      <c r="C65" s="12"/>
      <c r="D65" s="3">
        <f t="shared" si="12"/>
        <v>0</v>
      </c>
      <c r="E65" s="3"/>
      <c r="F65" s="22"/>
      <c r="G65" s="3"/>
      <c r="H65" s="3">
        <f>-178.35</f>
        <v>-178.35</v>
      </c>
      <c r="I65" s="3"/>
      <c r="J65" s="22"/>
      <c r="K65" s="3"/>
      <c r="L65" s="3">
        <f t="shared" si="0"/>
        <v>178.35</v>
      </c>
      <c r="M65" s="3"/>
      <c r="N65" s="22">
        <f t="shared" si="1"/>
        <v>-1</v>
      </c>
      <c r="O65" s="12"/>
      <c r="P65" s="3">
        <f t="shared" si="13"/>
        <v>0</v>
      </c>
      <c r="Q65" s="3"/>
      <c r="R65" s="22"/>
      <c r="S65" s="3"/>
      <c r="T65" s="3">
        <f>-178.35</f>
        <v>-178.35</v>
      </c>
      <c r="U65" s="3"/>
      <c r="V65" s="22"/>
      <c r="W65" s="3"/>
      <c r="X65" s="3">
        <f t="shared" si="2"/>
        <v>178.35</v>
      </c>
      <c r="Y65" s="3"/>
      <c r="Z65" s="22">
        <f t="shared" si="3"/>
        <v>-1</v>
      </c>
    </row>
    <row r="66" spans="1:26" s="24" customFormat="1" hidden="1" outlineLevel="1" x14ac:dyDescent="0.3">
      <c r="A66" s="50"/>
      <c r="B66" s="12" t="str">
        <f>CONCATENATE("          ", "4226", " - ", "SALES RETURN TAXABLE-WRITING I")</f>
        <v xml:space="preserve">          4226 - SALES RETURN TAXABLE-WRITING I</v>
      </c>
      <c r="C66" s="12"/>
      <c r="D66" s="3">
        <f t="shared" si="12"/>
        <v>0</v>
      </c>
      <c r="E66" s="3"/>
      <c r="F66" s="22"/>
      <c r="G66" s="3"/>
      <c r="H66" s="3">
        <f>-6.38</f>
        <v>-6.38</v>
      </c>
      <c r="I66" s="3"/>
      <c r="J66" s="22"/>
      <c r="K66" s="3"/>
      <c r="L66" s="3">
        <f t="shared" si="0"/>
        <v>6.38</v>
      </c>
      <c r="M66" s="3"/>
      <c r="N66" s="22">
        <f t="shared" si="1"/>
        <v>-1</v>
      </c>
      <c r="O66" s="12"/>
      <c r="P66" s="3">
        <f t="shared" si="13"/>
        <v>0</v>
      </c>
      <c r="Q66" s="3"/>
      <c r="R66" s="22"/>
      <c r="S66" s="3"/>
      <c r="T66" s="3">
        <f>-6.38</f>
        <v>-6.38</v>
      </c>
      <c r="U66" s="3"/>
      <c r="V66" s="22"/>
      <c r="W66" s="3"/>
      <c r="X66" s="3">
        <f t="shared" si="2"/>
        <v>6.38</v>
      </c>
      <c r="Y66" s="3"/>
      <c r="Z66" s="22">
        <f t="shared" si="3"/>
        <v>-1</v>
      </c>
    </row>
    <row r="67" spans="1:26" s="24" customFormat="1" hidden="1" outlineLevel="1" x14ac:dyDescent="0.3">
      <c r="A67" s="50"/>
      <c r="B67" s="12" t="str">
        <f>CONCATENATE("          ", "4227", " - ", "SALES RETURN TAXABLE-SCHOOL SU")</f>
        <v xml:space="preserve">          4227 - SALES RETURN TAXABLE-SCHOOL SU</v>
      </c>
      <c r="C67" s="12"/>
      <c r="D67" s="3">
        <f t="shared" si="12"/>
        <v>0</v>
      </c>
      <c r="E67" s="3"/>
      <c r="F67" s="22"/>
      <c r="G67" s="3"/>
      <c r="H67" s="3">
        <f>-56.77</f>
        <v>-56.77</v>
      </c>
      <c r="I67" s="3"/>
      <c r="J67" s="22"/>
      <c r="K67" s="3"/>
      <c r="L67" s="3">
        <f t="shared" si="0"/>
        <v>56.77</v>
      </c>
      <c r="M67" s="3"/>
      <c r="N67" s="22">
        <f t="shared" si="1"/>
        <v>-1</v>
      </c>
      <c r="O67" s="12"/>
      <c r="P67" s="3">
        <f t="shared" si="13"/>
        <v>0</v>
      </c>
      <c r="Q67" s="3"/>
      <c r="R67" s="22"/>
      <c r="S67" s="3"/>
      <c r="T67" s="3">
        <f>-56.77</f>
        <v>-56.77</v>
      </c>
      <c r="U67" s="3"/>
      <c r="V67" s="22"/>
      <c r="W67" s="3"/>
      <c r="X67" s="3">
        <f t="shared" si="2"/>
        <v>56.77</v>
      </c>
      <c r="Y67" s="3"/>
      <c r="Z67" s="22">
        <f t="shared" si="3"/>
        <v>-1</v>
      </c>
    </row>
    <row r="68" spans="1:26" s="24" customFormat="1" hidden="1" outlineLevel="1" x14ac:dyDescent="0.3">
      <c r="A68" s="50"/>
      <c r="B68" s="12" t="str">
        <f>CONCATENATE("          ", "4240", " - ", "SALES RETURN TAXABLE-LOGO CLOT")</f>
        <v xml:space="preserve">          4240 - SALES RETURN TAXABLE-LOGO CLOT</v>
      </c>
      <c r="C68" s="12"/>
      <c r="D68" s="3">
        <f t="shared" si="12"/>
        <v>0</v>
      </c>
      <c r="E68" s="3"/>
      <c r="F68" s="22"/>
      <c r="G68" s="3"/>
      <c r="H68" s="3">
        <f>-3368.1</f>
        <v>-3368.1</v>
      </c>
      <c r="I68" s="3"/>
      <c r="J68" s="22"/>
      <c r="K68" s="3"/>
      <c r="L68" s="3">
        <f t="shared" si="0"/>
        <v>3368.1</v>
      </c>
      <c r="M68" s="3"/>
      <c r="N68" s="22">
        <f t="shared" si="1"/>
        <v>-1</v>
      </c>
      <c r="O68" s="12"/>
      <c r="P68" s="3">
        <f t="shared" si="13"/>
        <v>0</v>
      </c>
      <c r="Q68" s="3"/>
      <c r="R68" s="22"/>
      <c r="S68" s="3"/>
      <c r="T68" s="3">
        <f>-3368.1</f>
        <v>-3368.1</v>
      </c>
      <c r="U68" s="3"/>
      <c r="V68" s="22"/>
      <c r="W68" s="3"/>
      <c r="X68" s="3">
        <f t="shared" si="2"/>
        <v>3368.1</v>
      </c>
      <c r="Y68" s="3"/>
      <c r="Z68" s="22">
        <f t="shared" si="3"/>
        <v>-1</v>
      </c>
    </row>
    <row r="69" spans="1:26" s="24" customFormat="1" hidden="1" outlineLevel="1" x14ac:dyDescent="0.3">
      <c r="A69" s="50"/>
      <c r="B69" s="12" t="str">
        <f>CONCATENATE("          ", "4241", " - ", "SALES RETURN TAXABLE-LOGO GIFT")</f>
        <v xml:space="preserve">          4241 - SALES RETURN TAXABLE-LOGO GIFT</v>
      </c>
      <c r="C69" s="12"/>
      <c r="D69" s="3">
        <f t="shared" si="12"/>
        <v>0</v>
      </c>
      <c r="E69" s="3"/>
      <c r="F69" s="22"/>
      <c r="G69" s="3"/>
      <c r="H69" s="3">
        <f>-341.98</f>
        <v>-341.98</v>
      </c>
      <c r="I69" s="3"/>
      <c r="J69" s="22"/>
      <c r="K69" s="3"/>
      <c r="L69" s="3">
        <f t="shared" si="0"/>
        <v>341.98</v>
      </c>
      <c r="M69" s="3"/>
      <c r="N69" s="22">
        <f t="shared" si="1"/>
        <v>-1</v>
      </c>
      <c r="O69" s="12"/>
      <c r="P69" s="3">
        <f t="shared" si="13"/>
        <v>0</v>
      </c>
      <c r="Q69" s="3"/>
      <c r="R69" s="22"/>
      <c r="S69" s="3"/>
      <c r="T69" s="3">
        <f>-341.98</f>
        <v>-341.98</v>
      </c>
      <c r="U69" s="3"/>
      <c r="V69" s="22"/>
      <c r="W69" s="3"/>
      <c r="X69" s="3">
        <f t="shared" si="2"/>
        <v>341.98</v>
      </c>
      <c r="Y69" s="3"/>
      <c r="Z69" s="22">
        <f t="shared" si="3"/>
        <v>-1</v>
      </c>
    </row>
    <row r="70" spans="1:26" s="24" customFormat="1" hidden="1" outlineLevel="1" x14ac:dyDescent="0.3">
      <c r="A70" s="50"/>
      <c r="B70" s="12" t="str">
        <f>CONCATENATE("          ", "4242", " - ", "SALES RETURN TAXABLE-EVERYDAY")</f>
        <v xml:space="preserve">          4242 - SALES RETURN TAXABLE-EVERYDAY</v>
      </c>
      <c r="C70" s="12"/>
      <c r="D70" s="3">
        <f t="shared" si="12"/>
        <v>0</v>
      </c>
      <c r="E70" s="3"/>
      <c r="F70" s="22"/>
      <c r="G70" s="3"/>
      <c r="H70" s="3">
        <f>-178.96</f>
        <v>-178.96</v>
      </c>
      <c r="I70" s="3"/>
      <c r="J70" s="22"/>
      <c r="K70" s="3"/>
      <c r="L70" s="3">
        <f t="shared" si="0"/>
        <v>178.96</v>
      </c>
      <c r="M70" s="3"/>
      <c r="N70" s="22">
        <f t="shared" si="1"/>
        <v>-1</v>
      </c>
      <c r="O70" s="12"/>
      <c r="P70" s="3">
        <f t="shared" si="13"/>
        <v>0</v>
      </c>
      <c r="Q70" s="3"/>
      <c r="R70" s="22"/>
      <c r="S70" s="3"/>
      <c r="T70" s="3">
        <f>-178.96</f>
        <v>-178.96</v>
      </c>
      <c r="U70" s="3"/>
      <c r="V70" s="22"/>
      <c r="W70" s="3"/>
      <c r="X70" s="3">
        <f t="shared" si="2"/>
        <v>178.96</v>
      </c>
      <c r="Y70" s="3"/>
      <c r="Z70" s="22">
        <f t="shared" si="3"/>
        <v>-1</v>
      </c>
    </row>
    <row r="71" spans="1:26" s="24" customFormat="1" hidden="1" outlineLevel="1" x14ac:dyDescent="0.3">
      <c r="A71" s="50"/>
      <c r="B71" s="12" t="str">
        <f>CONCATENATE("          ", "4245", " - ", "SALES RETURN TAXABLE-SPECIAL O")</f>
        <v xml:space="preserve">          4245 - SALES RETURN TAXABLE-SPECIAL O</v>
      </c>
      <c r="C71" s="12"/>
      <c r="D71" s="3">
        <f t="shared" si="12"/>
        <v>0</v>
      </c>
      <c r="E71" s="3"/>
      <c r="F71" s="22"/>
      <c r="G71" s="3"/>
      <c r="H71" s="3">
        <f>-1121</f>
        <v>-1121</v>
      </c>
      <c r="I71" s="3"/>
      <c r="J71" s="22"/>
      <c r="K71" s="3"/>
      <c r="L71" s="3">
        <f t="shared" si="0"/>
        <v>1121</v>
      </c>
      <c r="M71" s="3"/>
      <c r="N71" s="22">
        <f t="shared" si="1"/>
        <v>-1</v>
      </c>
      <c r="O71" s="12"/>
      <c r="P71" s="3">
        <f t="shared" si="13"/>
        <v>0</v>
      </c>
      <c r="Q71" s="3"/>
      <c r="R71" s="22"/>
      <c r="S71" s="3"/>
      <c r="T71" s="3">
        <f>-1121</f>
        <v>-1121</v>
      </c>
      <c r="U71" s="3"/>
      <c r="V71" s="22"/>
      <c r="W71" s="3"/>
      <c r="X71" s="3">
        <f t="shared" si="2"/>
        <v>1121</v>
      </c>
      <c r="Y71" s="3"/>
      <c r="Z71" s="22">
        <f t="shared" si="3"/>
        <v>-1</v>
      </c>
    </row>
    <row r="72" spans="1:26" s="24" customFormat="1" hidden="1" outlineLevel="1" x14ac:dyDescent="0.3">
      <c r="A72" s="50"/>
      <c r="B72" s="12" t="str">
        <f>CONCATENATE("          ", "4281", " - ", "SALES RETURN TAXABLE-ELECTRONI")</f>
        <v xml:space="preserve">          4281 - SALES RETURN TAXABLE-ELECTRONI</v>
      </c>
      <c r="C72" s="12"/>
      <c r="D72" s="3">
        <f t="shared" si="12"/>
        <v>0</v>
      </c>
      <c r="E72" s="3"/>
      <c r="F72" s="22"/>
      <c r="G72" s="3"/>
      <c r="H72" s="3">
        <f>-6291.99</f>
        <v>-6291.99</v>
      </c>
      <c r="I72" s="3"/>
      <c r="J72" s="22"/>
      <c r="K72" s="3"/>
      <c r="L72" s="3">
        <f t="shared" si="0"/>
        <v>6291.99</v>
      </c>
      <c r="M72" s="3"/>
      <c r="N72" s="22">
        <f t="shared" si="1"/>
        <v>-1</v>
      </c>
      <c r="O72" s="12"/>
      <c r="P72" s="3">
        <f t="shared" si="13"/>
        <v>0</v>
      </c>
      <c r="Q72" s="3"/>
      <c r="R72" s="22"/>
      <c r="S72" s="3"/>
      <c r="T72" s="3">
        <f>-6291.99</f>
        <v>-6291.99</v>
      </c>
      <c r="U72" s="3"/>
      <c r="V72" s="22"/>
      <c r="W72" s="3"/>
      <c r="X72" s="3">
        <f t="shared" si="2"/>
        <v>6291.99</v>
      </c>
      <c r="Y72" s="3"/>
      <c r="Z72" s="22">
        <f t="shared" si="3"/>
        <v>-1</v>
      </c>
    </row>
    <row r="73" spans="1:26" s="24" customFormat="1" hidden="1" outlineLevel="1" x14ac:dyDescent="0.3">
      <c r="A73" s="50"/>
      <c r="B73" s="12" t="str">
        <f>CONCATENATE("          ", "4282", " - ", "SALES RETURN TAXABLE-COMPUTER")</f>
        <v xml:space="preserve">          4282 - SALES RETURN TAXABLE-COMPUTER</v>
      </c>
      <c r="C73" s="12"/>
      <c r="D73" s="3">
        <f t="shared" si="12"/>
        <v>0</v>
      </c>
      <c r="E73" s="3"/>
      <c r="F73" s="22"/>
      <c r="G73" s="3"/>
      <c r="H73" s="3">
        <f>-18207</f>
        <v>-18207</v>
      </c>
      <c r="I73" s="3"/>
      <c r="J73" s="22"/>
      <c r="K73" s="3"/>
      <c r="L73" s="3">
        <f t="shared" si="0"/>
        <v>18207</v>
      </c>
      <c r="M73" s="3"/>
      <c r="N73" s="22">
        <f t="shared" si="1"/>
        <v>-1</v>
      </c>
      <c r="O73" s="12"/>
      <c r="P73" s="3">
        <f t="shared" si="13"/>
        <v>0</v>
      </c>
      <c r="Q73" s="3"/>
      <c r="R73" s="22"/>
      <c r="S73" s="3"/>
      <c r="T73" s="3">
        <f>-18207</f>
        <v>-18207</v>
      </c>
      <c r="U73" s="3"/>
      <c r="V73" s="22"/>
      <c r="W73" s="3"/>
      <c r="X73" s="3">
        <f t="shared" si="2"/>
        <v>18207</v>
      </c>
      <c r="Y73" s="3"/>
      <c r="Z73" s="22">
        <f t="shared" si="3"/>
        <v>-1</v>
      </c>
    </row>
    <row r="74" spans="1:26" s="24" customFormat="1" hidden="1" outlineLevel="1" x14ac:dyDescent="0.3">
      <c r="A74" s="50"/>
      <c r="B74" s="12" t="str">
        <f>CONCATENATE("          ", "4283", " - ", "SALES RETURN TAXABLE-COMPUTER")</f>
        <v xml:space="preserve">          4283 - SALES RETURN TAXABLE-COMPUTER</v>
      </c>
      <c r="C74" s="12"/>
      <c r="D74" s="3">
        <f t="shared" si="12"/>
        <v>0</v>
      </c>
      <c r="E74" s="3"/>
      <c r="F74" s="22"/>
      <c r="G74" s="3"/>
      <c r="H74" s="3">
        <f>-818.93</f>
        <v>-818.93</v>
      </c>
      <c r="I74" s="3"/>
      <c r="J74" s="22"/>
      <c r="K74" s="3"/>
      <c r="L74" s="3">
        <f t="shared" si="0"/>
        <v>818.93</v>
      </c>
      <c r="M74" s="3"/>
      <c r="N74" s="22">
        <f t="shared" si="1"/>
        <v>-1</v>
      </c>
      <c r="O74" s="12"/>
      <c r="P74" s="3">
        <f t="shared" si="13"/>
        <v>0</v>
      </c>
      <c r="Q74" s="3"/>
      <c r="R74" s="22"/>
      <c r="S74" s="3"/>
      <c r="T74" s="3">
        <f>-818.93</f>
        <v>-818.93</v>
      </c>
      <c r="U74" s="3"/>
      <c r="V74" s="22"/>
      <c r="W74" s="3"/>
      <c r="X74" s="3">
        <f t="shared" si="2"/>
        <v>818.93</v>
      </c>
      <c r="Y74" s="3"/>
      <c r="Z74" s="22">
        <f t="shared" si="3"/>
        <v>-1</v>
      </c>
    </row>
    <row r="75" spans="1:26" s="24" customFormat="1" hidden="1" outlineLevel="1" x14ac:dyDescent="0.3">
      <c r="A75" s="50"/>
      <c r="B75" s="12" t="str">
        <f>CONCATENATE("          ", "4300", " - ", "NON-TAX RETURNS")</f>
        <v xml:space="preserve">          4300 - NON-TAX RETURNS</v>
      </c>
      <c r="C75" s="12"/>
      <c r="D75" s="3">
        <f>-1501.58</f>
        <v>-1501.58</v>
      </c>
      <c r="E75" s="3"/>
      <c r="F75" s="22"/>
      <c r="G75" s="3"/>
      <c r="H75" s="3">
        <f>0</f>
        <v>0</v>
      </c>
      <c r="I75" s="3"/>
      <c r="J75" s="22"/>
      <c r="K75" s="3"/>
      <c r="L75" s="3">
        <f t="shared" si="0"/>
        <v>-1501.58</v>
      </c>
      <c r="M75" s="3"/>
      <c r="N75" s="22">
        <f t="shared" si="1"/>
        <v>0</v>
      </c>
      <c r="O75" s="12"/>
      <c r="P75" s="3">
        <f>-1501.58</f>
        <v>-1501.58</v>
      </c>
      <c r="Q75" s="3"/>
      <c r="R75" s="22"/>
      <c r="S75" s="3"/>
      <c r="T75" s="3">
        <f>0</f>
        <v>0</v>
      </c>
      <c r="U75" s="3"/>
      <c r="V75" s="22"/>
      <c r="W75" s="3"/>
      <c r="X75" s="3">
        <f t="shared" si="2"/>
        <v>-1501.58</v>
      </c>
      <c r="Y75" s="3"/>
      <c r="Z75" s="22">
        <f t="shared" si="3"/>
        <v>0</v>
      </c>
    </row>
    <row r="76" spans="1:26" s="24" customFormat="1" hidden="1" outlineLevel="1" x14ac:dyDescent="0.3">
      <c r="A76" s="50"/>
      <c r="B76" s="12" t="str">
        <f>CONCATENATE("          ", "4302", " - ", "SALES RETURN NON TAXABLE-TEXT")</f>
        <v xml:space="preserve">          4302 - SALES RETURN NON TAXABLE-TEXT</v>
      </c>
      <c r="C76" s="12"/>
      <c r="D76" s="3">
        <f t="shared" ref="D76:D81" si="14">0</f>
        <v>0</v>
      </c>
      <c r="E76" s="3"/>
      <c r="F76" s="22"/>
      <c r="G76" s="3"/>
      <c r="H76" s="3">
        <f>-63.67</f>
        <v>-63.67</v>
      </c>
      <c r="I76" s="3"/>
      <c r="J76" s="22"/>
      <c r="K76" s="3"/>
      <c r="L76" s="3">
        <f t="shared" si="0"/>
        <v>63.67</v>
      </c>
      <c r="M76" s="3"/>
      <c r="N76" s="22">
        <f t="shared" si="1"/>
        <v>-1</v>
      </c>
      <c r="O76" s="12"/>
      <c r="P76" s="3">
        <f t="shared" ref="P76:P81" si="15">0</f>
        <v>0</v>
      </c>
      <c r="Q76" s="3"/>
      <c r="R76" s="22"/>
      <c r="S76" s="3"/>
      <c r="T76" s="3">
        <f>-63.67</f>
        <v>-63.67</v>
      </c>
      <c r="U76" s="3"/>
      <c r="V76" s="22"/>
      <c r="W76" s="3"/>
      <c r="X76" s="3">
        <f t="shared" si="2"/>
        <v>63.67</v>
      </c>
      <c r="Y76" s="3"/>
      <c r="Z76" s="22">
        <f t="shared" si="3"/>
        <v>-1</v>
      </c>
    </row>
    <row r="77" spans="1:26" s="24" customFormat="1" hidden="1" outlineLevel="1" x14ac:dyDescent="0.3">
      <c r="A77" s="50"/>
      <c r="B77" s="12" t="str">
        <f>CONCATENATE("          ", "4304", " - ", "SALES RETURN NON TAXABLE-DIGIT")</f>
        <v xml:space="preserve">          4304 - SALES RETURN NON TAXABLE-DIGIT</v>
      </c>
      <c r="C77" s="12"/>
      <c r="D77" s="3">
        <f t="shared" si="14"/>
        <v>0</v>
      </c>
      <c r="E77" s="3"/>
      <c r="F77" s="22"/>
      <c r="G77" s="3"/>
      <c r="H77" s="3">
        <f>-452.05</f>
        <v>-452.05</v>
      </c>
      <c r="I77" s="3"/>
      <c r="J77" s="22"/>
      <c r="K77" s="3"/>
      <c r="L77" s="3">
        <f t="shared" si="0"/>
        <v>452.05</v>
      </c>
      <c r="M77" s="3"/>
      <c r="N77" s="22">
        <f t="shared" si="1"/>
        <v>-1</v>
      </c>
      <c r="O77" s="12"/>
      <c r="P77" s="3">
        <f t="shared" si="15"/>
        <v>0</v>
      </c>
      <c r="Q77" s="3"/>
      <c r="R77" s="22"/>
      <c r="S77" s="3"/>
      <c r="T77" s="3">
        <f>-452.05</f>
        <v>-452.05</v>
      </c>
      <c r="U77" s="3"/>
      <c r="V77" s="22"/>
      <c r="W77" s="3"/>
      <c r="X77" s="3">
        <f t="shared" si="2"/>
        <v>452.05</v>
      </c>
      <c r="Y77" s="3"/>
      <c r="Z77" s="22">
        <f t="shared" si="3"/>
        <v>-1</v>
      </c>
    </row>
    <row r="78" spans="1:26" s="24" customFormat="1" hidden="1" outlineLevel="1" x14ac:dyDescent="0.3">
      <c r="A78" s="50"/>
      <c r="B78" s="12" t="str">
        <f>CONCATENATE("          ", "4340", " - ", "SALES RETURN NON TAXABLE-LOGO")</f>
        <v xml:space="preserve">          4340 - SALES RETURN NON TAXABLE-LOGO</v>
      </c>
      <c r="C78" s="12"/>
      <c r="D78" s="3">
        <f t="shared" si="14"/>
        <v>0</v>
      </c>
      <c r="E78" s="3"/>
      <c r="F78" s="22"/>
      <c r="G78" s="3"/>
      <c r="H78" s="3">
        <f>-434.24</f>
        <v>-434.24</v>
      </c>
      <c r="I78" s="3"/>
      <c r="J78" s="22"/>
      <c r="K78" s="3"/>
      <c r="L78" s="3">
        <f t="shared" si="0"/>
        <v>434.24</v>
      </c>
      <c r="M78" s="3"/>
      <c r="N78" s="22">
        <f t="shared" si="1"/>
        <v>-1</v>
      </c>
      <c r="O78" s="12"/>
      <c r="P78" s="3">
        <f t="shared" si="15"/>
        <v>0</v>
      </c>
      <c r="Q78" s="3"/>
      <c r="R78" s="22"/>
      <c r="S78" s="3"/>
      <c r="T78" s="3">
        <f>-434.24</f>
        <v>-434.24</v>
      </c>
      <c r="U78" s="3"/>
      <c r="V78" s="22"/>
      <c r="W78" s="3"/>
      <c r="X78" s="3">
        <f t="shared" si="2"/>
        <v>434.24</v>
      </c>
      <c r="Y78" s="3"/>
      <c r="Z78" s="22">
        <f t="shared" si="3"/>
        <v>-1</v>
      </c>
    </row>
    <row r="79" spans="1:26" s="24" customFormat="1" hidden="1" outlineLevel="1" x14ac:dyDescent="0.3">
      <c r="A79" s="50"/>
      <c r="B79" s="12" t="str">
        <f>CONCATENATE("          ", "4341", " - ", "SALES RETURN NON TAXABLE-LOGO")</f>
        <v xml:space="preserve">          4341 - SALES RETURN NON TAXABLE-LOGO</v>
      </c>
      <c r="C79" s="12"/>
      <c r="D79" s="3">
        <f t="shared" si="14"/>
        <v>0</v>
      </c>
      <c r="E79" s="3"/>
      <c r="F79" s="22"/>
      <c r="G79" s="3"/>
      <c r="H79" s="3">
        <f>-16.95</f>
        <v>-16.95</v>
      </c>
      <c r="I79" s="3"/>
      <c r="J79" s="22"/>
      <c r="K79" s="3"/>
      <c r="L79" s="3">
        <f t="shared" si="0"/>
        <v>16.95</v>
      </c>
      <c r="M79" s="3"/>
      <c r="N79" s="22">
        <f t="shared" si="1"/>
        <v>-1</v>
      </c>
      <c r="O79" s="12"/>
      <c r="P79" s="3">
        <f t="shared" si="15"/>
        <v>0</v>
      </c>
      <c r="Q79" s="3"/>
      <c r="R79" s="22"/>
      <c r="S79" s="3"/>
      <c r="T79" s="3">
        <f>-16.95</f>
        <v>-16.95</v>
      </c>
      <c r="U79" s="3"/>
      <c r="V79" s="22"/>
      <c r="W79" s="3"/>
      <c r="X79" s="3">
        <f t="shared" si="2"/>
        <v>16.95</v>
      </c>
      <c r="Y79" s="3"/>
      <c r="Z79" s="22">
        <f t="shared" si="3"/>
        <v>-1</v>
      </c>
    </row>
    <row r="80" spans="1:26" s="24" customFormat="1" hidden="1" outlineLevel="1" x14ac:dyDescent="0.3">
      <c r="A80" s="50"/>
      <c r="B80" s="12" t="str">
        <f>CONCATENATE("          ", "4342", " - ", "SALES RETURN NON TAXABLE-EVERY")</f>
        <v xml:space="preserve">          4342 - SALES RETURN NON TAXABLE-EVERY</v>
      </c>
      <c r="C80" s="12"/>
      <c r="D80" s="3">
        <f t="shared" si="14"/>
        <v>0</v>
      </c>
      <c r="E80" s="3"/>
      <c r="F80" s="22"/>
      <c r="G80" s="3"/>
      <c r="H80" s="3">
        <f>-79.85</f>
        <v>-79.849999999999994</v>
      </c>
      <c r="I80" s="3"/>
      <c r="J80" s="22"/>
      <c r="K80" s="3"/>
      <c r="L80" s="3">
        <f t="shared" si="0"/>
        <v>79.849999999999994</v>
      </c>
      <c r="M80" s="3"/>
      <c r="N80" s="22">
        <f t="shared" si="1"/>
        <v>-1</v>
      </c>
      <c r="O80" s="12"/>
      <c r="P80" s="3">
        <f t="shared" si="15"/>
        <v>0</v>
      </c>
      <c r="Q80" s="3"/>
      <c r="R80" s="22"/>
      <c r="S80" s="3"/>
      <c r="T80" s="3">
        <f>-79.85</f>
        <v>-79.849999999999994</v>
      </c>
      <c r="U80" s="3"/>
      <c r="V80" s="22"/>
      <c r="W80" s="3"/>
      <c r="X80" s="3">
        <f t="shared" si="2"/>
        <v>79.849999999999994</v>
      </c>
      <c r="Y80" s="3"/>
      <c r="Z80" s="22">
        <f t="shared" si="3"/>
        <v>-1</v>
      </c>
    </row>
    <row r="81" spans="1:26" s="24" customFormat="1" hidden="1" outlineLevel="1" x14ac:dyDescent="0.3">
      <c r="A81" s="50"/>
      <c r="B81" s="12" t="str">
        <f>CONCATENATE("          ", "4381", " - ", "SALES RETURN NON TAXABLE-ELECT")</f>
        <v xml:space="preserve">          4381 - SALES RETURN NON TAXABLE-ELECT</v>
      </c>
      <c r="C81" s="12"/>
      <c r="D81" s="3">
        <f t="shared" si="14"/>
        <v>0</v>
      </c>
      <c r="E81" s="3"/>
      <c r="F81" s="22"/>
      <c r="G81" s="3"/>
      <c r="H81" s="3">
        <f>-1749</f>
        <v>-1749</v>
      </c>
      <c r="I81" s="3"/>
      <c r="J81" s="22"/>
      <c r="K81" s="3"/>
      <c r="L81" s="3">
        <f t="shared" si="0"/>
        <v>1749</v>
      </c>
      <c r="M81" s="3"/>
      <c r="N81" s="22">
        <f t="shared" si="1"/>
        <v>-1</v>
      </c>
      <c r="O81" s="12"/>
      <c r="P81" s="3">
        <f t="shared" si="15"/>
        <v>0</v>
      </c>
      <c r="Q81" s="3"/>
      <c r="R81" s="22"/>
      <c r="S81" s="3"/>
      <c r="T81" s="3">
        <f>-1749</f>
        <v>-1749</v>
      </c>
      <c r="U81" s="3"/>
      <c r="V81" s="22"/>
      <c r="W81" s="3"/>
      <c r="X81" s="3">
        <f t="shared" si="2"/>
        <v>1749</v>
      </c>
      <c r="Y81" s="3"/>
      <c r="Z81" s="22">
        <f t="shared" si="3"/>
        <v>-1</v>
      </c>
    </row>
    <row r="82" spans="1:26" x14ac:dyDescent="0.3">
      <c r="A82" s="9"/>
      <c r="B82" s="10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s="23" customFormat="1" collapsed="1" x14ac:dyDescent="0.3">
      <c r="A83" s="10"/>
      <c r="B83" s="25" t="s">
        <v>256</v>
      </c>
      <c r="C83" s="10"/>
      <c r="D83" s="4">
        <f>SUM(OSRRefD16x_0)</f>
        <v>231981.13000000006</v>
      </c>
      <c r="E83" s="4"/>
      <c r="F83" s="11">
        <f t="shared" ref="F83:F119" si="16">IF(D$12=0,0,D83/D$12)</f>
        <v>0.46014382092221212</v>
      </c>
      <c r="G83" s="4"/>
      <c r="H83" s="4">
        <f>SUM(OSRRefH16x_0)</f>
        <v>336814.02000000014</v>
      </c>
      <c r="I83" s="4"/>
      <c r="J83" s="11">
        <f t="shared" ref="J83:J119" si="17">IF(H$12=0,0,H83/H$12)</f>
        <v>0.70624504949223477</v>
      </c>
      <c r="K83" s="4"/>
      <c r="L83" s="4">
        <f t="shared" ref="L83:L119" si="18">+D83-H83</f>
        <v>-104832.89000000007</v>
      </c>
      <c r="M83" s="4"/>
      <c r="N83" s="11">
        <f t="shared" ref="N83:N119" si="19">IF(H83=0,0,L83/H83)</f>
        <v>-0.31124859351163597</v>
      </c>
      <c r="O83" s="10"/>
      <c r="P83" s="4">
        <f>SUM(OSRRefP16x_0)</f>
        <v>231981.13000000006</v>
      </c>
      <c r="Q83" s="4"/>
      <c r="R83" s="11">
        <f t="shared" ref="R83:R119" si="20">IF(P$12=0,0,P83/P$12)</f>
        <v>0.46014382092221212</v>
      </c>
      <c r="S83" s="4"/>
      <c r="T83" s="4">
        <f>SUM(OSRRefT16x_0)</f>
        <v>336814.02000000014</v>
      </c>
      <c r="U83" s="4"/>
      <c r="V83" s="11">
        <f t="shared" ref="V83:V119" si="21">IF(T$12=0,0,T83/T$12)</f>
        <v>0.70624504949223477</v>
      </c>
      <c r="W83" s="4"/>
      <c r="X83" s="4">
        <f t="shared" ref="X83:X119" si="22">+P83-T83</f>
        <v>-104832.89000000007</v>
      </c>
      <c r="Y83" s="4"/>
      <c r="Z83" s="11">
        <f t="shared" ref="Z83:Z119" si="23">IF(T83=0,0,X83/T83)</f>
        <v>-0.31124859351163597</v>
      </c>
    </row>
    <row r="84" spans="1:26" s="24" customFormat="1" hidden="1" outlineLevel="1" x14ac:dyDescent="0.3">
      <c r="A84" s="50"/>
      <c r="B84" s="12" t="str">
        <f>CONCATENATE("          ", "5000", " - ", "PURCHASES @ COST")</f>
        <v xml:space="preserve">          5000 - PURCHASES @ COST</v>
      </c>
      <c r="C84" s="12"/>
      <c r="D84" s="3">
        <v>442136.21</v>
      </c>
      <c r="E84" s="3"/>
      <c r="F84" s="22">
        <f t="shared" si="16"/>
        <v>0.87699480141969099</v>
      </c>
      <c r="G84" s="3"/>
      <c r="H84" s="3"/>
      <c r="I84" s="3"/>
      <c r="J84" s="22">
        <f t="shared" si="17"/>
        <v>0</v>
      </c>
      <c r="K84" s="3"/>
      <c r="L84" s="3">
        <f t="shared" si="18"/>
        <v>442136.21</v>
      </c>
      <c r="M84" s="3"/>
      <c r="N84" s="22">
        <f t="shared" si="19"/>
        <v>0</v>
      </c>
      <c r="O84" s="12"/>
      <c r="P84" s="3">
        <v>442136.21</v>
      </c>
      <c r="Q84" s="3"/>
      <c r="R84" s="22">
        <f t="shared" si="20"/>
        <v>0.87699480141969099</v>
      </c>
      <c r="S84" s="3"/>
      <c r="T84" s="3"/>
      <c r="U84" s="3"/>
      <c r="V84" s="22">
        <f t="shared" si="21"/>
        <v>0</v>
      </c>
      <c r="W84" s="3"/>
      <c r="X84" s="3">
        <f t="shared" si="22"/>
        <v>442136.21</v>
      </c>
      <c r="Y84" s="3"/>
      <c r="Z84" s="22">
        <f t="shared" si="23"/>
        <v>0</v>
      </c>
    </row>
    <row r="85" spans="1:26" s="24" customFormat="1" hidden="1" outlineLevel="1" x14ac:dyDescent="0.3">
      <c r="A85" s="50"/>
      <c r="B85" s="12" t="str">
        <f>CONCATENATE("          ", "5001", " - ", "PURCHASES @ COST-NEW TEXT")</f>
        <v xml:space="preserve">          5001 - PURCHASES @ COST-NEW TEXT</v>
      </c>
      <c r="C85" s="12"/>
      <c r="D85" s="3">
        <v>0</v>
      </c>
      <c r="E85" s="3"/>
      <c r="F85" s="22">
        <f t="shared" si="16"/>
        <v>0</v>
      </c>
      <c r="G85" s="3"/>
      <c r="H85" s="3">
        <v>153110.63</v>
      </c>
      <c r="I85" s="3"/>
      <c r="J85" s="22">
        <f t="shared" si="17"/>
        <v>0.32104846604110243</v>
      </c>
      <c r="K85" s="3"/>
      <c r="L85" s="3">
        <f t="shared" si="18"/>
        <v>-153110.63</v>
      </c>
      <c r="M85" s="3"/>
      <c r="N85" s="22">
        <f t="shared" si="19"/>
        <v>-1</v>
      </c>
      <c r="O85" s="12"/>
      <c r="P85" s="3">
        <v>0</v>
      </c>
      <c r="Q85" s="3"/>
      <c r="R85" s="22">
        <f t="shared" si="20"/>
        <v>0</v>
      </c>
      <c r="S85" s="3"/>
      <c r="T85" s="3">
        <v>153110.63</v>
      </c>
      <c r="U85" s="3"/>
      <c r="V85" s="22">
        <f t="shared" si="21"/>
        <v>0.32104846604110243</v>
      </c>
      <c r="W85" s="3"/>
      <c r="X85" s="3">
        <f t="shared" si="22"/>
        <v>-153110.63</v>
      </c>
      <c r="Y85" s="3"/>
      <c r="Z85" s="22">
        <f t="shared" si="23"/>
        <v>-1</v>
      </c>
    </row>
    <row r="86" spans="1:26" s="24" customFormat="1" hidden="1" outlineLevel="1" x14ac:dyDescent="0.3">
      <c r="A86" s="50"/>
      <c r="B86" s="12" t="str">
        <f>CONCATENATE("          ", "5002", " - ", "PURCHASES @ COST-USED TEXT")</f>
        <v xml:space="preserve">          5002 - PURCHASES @ COST-USED TEXT</v>
      </c>
      <c r="C86" s="12"/>
      <c r="D86" s="3">
        <v>0</v>
      </c>
      <c r="E86" s="3"/>
      <c r="F86" s="22">
        <f t="shared" si="16"/>
        <v>0</v>
      </c>
      <c r="G86" s="3"/>
      <c r="H86" s="3">
        <v>60324.85</v>
      </c>
      <c r="I86" s="3"/>
      <c r="J86" s="22">
        <f t="shared" si="17"/>
        <v>0.12649154769110152</v>
      </c>
      <c r="K86" s="3"/>
      <c r="L86" s="3">
        <f t="shared" si="18"/>
        <v>-60324.85</v>
      </c>
      <c r="M86" s="3"/>
      <c r="N86" s="22">
        <f t="shared" si="19"/>
        <v>-1</v>
      </c>
      <c r="O86" s="12"/>
      <c r="P86" s="3">
        <v>0</v>
      </c>
      <c r="Q86" s="3"/>
      <c r="R86" s="22">
        <f t="shared" si="20"/>
        <v>0</v>
      </c>
      <c r="S86" s="3"/>
      <c r="T86" s="3">
        <v>60324.85</v>
      </c>
      <c r="U86" s="3"/>
      <c r="V86" s="22">
        <f t="shared" si="21"/>
        <v>0.12649154769110152</v>
      </c>
      <c r="W86" s="3"/>
      <c r="X86" s="3">
        <f t="shared" si="22"/>
        <v>-60324.85</v>
      </c>
      <c r="Y86" s="3"/>
      <c r="Z86" s="22">
        <f t="shared" si="23"/>
        <v>-1</v>
      </c>
    </row>
    <row r="87" spans="1:26" s="24" customFormat="1" hidden="1" outlineLevel="1" x14ac:dyDescent="0.3">
      <c r="A87" s="50"/>
      <c r="B87" s="12" t="str">
        <f>CONCATENATE("          ", "5003", " - ", "PURCHASES @ COST-RENTAL TEXT")</f>
        <v xml:space="preserve">          5003 - PURCHASES @ COST-RENTAL TEXT</v>
      </c>
      <c r="C87" s="12"/>
      <c r="D87" s="3"/>
      <c r="E87" s="3"/>
      <c r="F87" s="22">
        <f t="shared" si="16"/>
        <v>0</v>
      </c>
      <c r="G87" s="3"/>
      <c r="H87" s="3">
        <v>-11926.64</v>
      </c>
      <c r="I87" s="3"/>
      <c r="J87" s="22">
        <f t="shared" si="17"/>
        <v>-2.5008253685746405E-2</v>
      </c>
      <c r="K87" s="3"/>
      <c r="L87" s="3">
        <f t="shared" si="18"/>
        <v>11926.64</v>
      </c>
      <c r="M87" s="3"/>
      <c r="N87" s="22">
        <f t="shared" si="19"/>
        <v>-1</v>
      </c>
      <c r="O87" s="12"/>
      <c r="P87" s="3"/>
      <c r="Q87" s="3"/>
      <c r="R87" s="22">
        <f t="shared" si="20"/>
        <v>0</v>
      </c>
      <c r="S87" s="3"/>
      <c r="T87" s="3">
        <v>-11926.64</v>
      </c>
      <c r="U87" s="3"/>
      <c r="V87" s="22">
        <f t="shared" si="21"/>
        <v>-2.5008253685746405E-2</v>
      </c>
      <c r="W87" s="3"/>
      <c r="X87" s="3">
        <f t="shared" si="22"/>
        <v>11926.64</v>
      </c>
      <c r="Y87" s="3"/>
      <c r="Z87" s="22">
        <f t="shared" si="23"/>
        <v>-1</v>
      </c>
    </row>
    <row r="88" spans="1:26" s="24" customFormat="1" hidden="1" outlineLevel="1" x14ac:dyDescent="0.3">
      <c r="A88" s="50"/>
      <c r="B88" s="12" t="str">
        <f>CONCATENATE("          ", "5004", " - ", "PURCHASES @ COST-DIGITAL TEXT")</f>
        <v xml:space="preserve">          5004 - PURCHASES @ COST-DIGITAL TEXT</v>
      </c>
      <c r="C88" s="12"/>
      <c r="D88" s="3">
        <v>0</v>
      </c>
      <c r="E88" s="3"/>
      <c r="F88" s="22">
        <f t="shared" si="16"/>
        <v>0</v>
      </c>
      <c r="G88" s="3"/>
      <c r="H88" s="3">
        <v>4925.4799999999996</v>
      </c>
      <c r="I88" s="3"/>
      <c r="J88" s="22">
        <f t="shared" si="17"/>
        <v>1.0327942602784204E-2</v>
      </c>
      <c r="K88" s="3"/>
      <c r="L88" s="3">
        <f t="shared" si="18"/>
        <v>-4925.4799999999996</v>
      </c>
      <c r="M88" s="3"/>
      <c r="N88" s="22">
        <f t="shared" si="19"/>
        <v>-1</v>
      </c>
      <c r="O88" s="12"/>
      <c r="P88" s="3">
        <v>0</v>
      </c>
      <c r="Q88" s="3"/>
      <c r="R88" s="22">
        <f t="shared" si="20"/>
        <v>0</v>
      </c>
      <c r="S88" s="3"/>
      <c r="T88" s="3">
        <v>4925.4799999999996</v>
      </c>
      <c r="U88" s="3"/>
      <c r="V88" s="22">
        <f t="shared" si="21"/>
        <v>1.0327942602784204E-2</v>
      </c>
      <c r="W88" s="3"/>
      <c r="X88" s="3">
        <f t="shared" si="22"/>
        <v>-4925.4799999999996</v>
      </c>
      <c r="Y88" s="3"/>
      <c r="Z88" s="22">
        <f t="shared" si="23"/>
        <v>-1</v>
      </c>
    </row>
    <row r="89" spans="1:26" s="24" customFormat="1" hidden="1" outlineLevel="1" x14ac:dyDescent="0.3">
      <c r="A89" s="50"/>
      <c r="B89" s="12" t="str">
        <f>CONCATENATE("          ", "5013", " - ", "PURCHASES @ COST-TRADE BOOKS")</f>
        <v xml:space="preserve">          5013 - PURCHASES @ COST-TRADE BOOKS</v>
      </c>
      <c r="C89" s="12"/>
      <c r="D89" s="3"/>
      <c r="E89" s="3"/>
      <c r="F89" s="22">
        <f t="shared" si="16"/>
        <v>0</v>
      </c>
      <c r="G89" s="3"/>
      <c r="H89" s="3">
        <v>108.54</v>
      </c>
      <c r="I89" s="3"/>
      <c r="J89" s="22">
        <f t="shared" si="17"/>
        <v>2.2759099419877811E-4</v>
      </c>
      <c r="K89" s="3"/>
      <c r="L89" s="3">
        <f t="shared" si="18"/>
        <v>-108.54</v>
      </c>
      <c r="M89" s="3"/>
      <c r="N89" s="22">
        <f t="shared" si="19"/>
        <v>-1</v>
      </c>
      <c r="O89" s="12"/>
      <c r="P89" s="3"/>
      <c r="Q89" s="3"/>
      <c r="R89" s="22">
        <f t="shared" si="20"/>
        <v>0</v>
      </c>
      <c r="S89" s="3"/>
      <c r="T89" s="3">
        <v>108.54</v>
      </c>
      <c r="U89" s="3"/>
      <c r="V89" s="22">
        <f t="shared" si="21"/>
        <v>2.2759099419877811E-4</v>
      </c>
      <c r="W89" s="3"/>
      <c r="X89" s="3">
        <f t="shared" si="22"/>
        <v>-108.54</v>
      </c>
      <c r="Y89" s="3"/>
      <c r="Z89" s="22">
        <f t="shared" si="23"/>
        <v>-1</v>
      </c>
    </row>
    <row r="90" spans="1:26" s="24" customFormat="1" hidden="1" outlineLevel="1" x14ac:dyDescent="0.3">
      <c r="A90" s="50"/>
      <c r="B90" s="12" t="str">
        <f>CONCATENATE("          ", "5014", " - ", "PURCHASES @ COST-REMAINDERS")</f>
        <v xml:space="preserve">          5014 - PURCHASES @ COST-REMAINDERS</v>
      </c>
      <c r="C90" s="12"/>
      <c r="D90" s="3"/>
      <c r="E90" s="3"/>
      <c r="F90" s="22">
        <f t="shared" si="16"/>
        <v>0</v>
      </c>
      <c r="G90" s="3"/>
      <c r="H90" s="3">
        <v>-12.51</v>
      </c>
      <c r="I90" s="3"/>
      <c r="J90" s="22">
        <f t="shared" si="17"/>
        <v>-2.6231466163872433E-5</v>
      </c>
      <c r="K90" s="3"/>
      <c r="L90" s="3">
        <f t="shared" si="18"/>
        <v>12.51</v>
      </c>
      <c r="M90" s="3"/>
      <c r="N90" s="22">
        <f t="shared" si="19"/>
        <v>-1</v>
      </c>
      <c r="O90" s="12"/>
      <c r="P90" s="3"/>
      <c r="Q90" s="3"/>
      <c r="R90" s="22">
        <f t="shared" si="20"/>
        <v>0</v>
      </c>
      <c r="S90" s="3"/>
      <c r="T90" s="3">
        <v>-12.51</v>
      </c>
      <c r="U90" s="3"/>
      <c r="V90" s="22">
        <f t="shared" si="21"/>
        <v>-2.6231466163872433E-5</v>
      </c>
      <c r="W90" s="3"/>
      <c r="X90" s="3">
        <f t="shared" si="22"/>
        <v>12.51</v>
      </c>
      <c r="Y90" s="3"/>
      <c r="Z90" s="22">
        <f t="shared" si="23"/>
        <v>-1</v>
      </c>
    </row>
    <row r="91" spans="1:26" s="24" customFormat="1" hidden="1" outlineLevel="1" x14ac:dyDescent="0.3">
      <c r="A91" s="50"/>
      <c r="B91" s="12" t="str">
        <f>CONCATENATE("          ", "5027", " - ", "PURCHASES @ COST-SCHOOL SUPPLI")</f>
        <v xml:space="preserve">          5027 - PURCHASES @ COST-SCHOOL SUPPLI</v>
      </c>
      <c r="C91" s="12"/>
      <c r="D91" s="3"/>
      <c r="E91" s="3"/>
      <c r="F91" s="22">
        <f t="shared" si="16"/>
        <v>0</v>
      </c>
      <c r="G91" s="3"/>
      <c r="H91" s="3">
        <v>8503.4</v>
      </c>
      <c r="I91" s="3"/>
      <c r="J91" s="22">
        <f t="shared" si="17"/>
        <v>1.7830267736040996E-2</v>
      </c>
      <c r="K91" s="3"/>
      <c r="L91" s="3">
        <f t="shared" si="18"/>
        <v>-8503.4</v>
      </c>
      <c r="M91" s="3"/>
      <c r="N91" s="22">
        <f t="shared" si="19"/>
        <v>-1</v>
      </c>
      <c r="O91" s="12"/>
      <c r="P91" s="3"/>
      <c r="Q91" s="3"/>
      <c r="R91" s="22">
        <f t="shared" si="20"/>
        <v>0</v>
      </c>
      <c r="S91" s="3"/>
      <c r="T91" s="3">
        <v>8503.4</v>
      </c>
      <c r="U91" s="3"/>
      <c r="V91" s="22">
        <f t="shared" si="21"/>
        <v>1.7830267736040996E-2</v>
      </c>
      <c r="W91" s="3"/>
      <c r="X91" s="3">
        <f t="shared" si="22"/>
        <v>-8503.4</v>
      </c>
      <c r="Y91" s="3"/>
      <c r="Z91" s="22">
        <f t="shared" si="23"/>
        <v>-1</v>
      </c>
    </row>
    <row r="92" spans="1:26" s="24" customFormat="1" hidden="1" outlineLevel="1" x14ac:dyDescent="0.3">
      <c r="A92" s="50"/>
      <c r="B92" s="12" t="str">
        <f>CONCATENATE("          ", "5040", " - ", "PURCHASES @ COST-LOGO CLOTHING")</f>
        <v xml:space="preserve">          5040 - PURCHASES @ COST-LOGO CLOTHING</v>
      </c>
      <c r="C92" s="12"/>
      <c r="D92" s="3">
        <v>0</v>
      </c>
      <c r="E92" s="3"/>
      <c r="F92" s="22">
        <f t="shared" si="16"/>
        <v>0</v>
      </c>
      <c r="G92" s="3"/>
      <c r="H92" s="3">
        <v>1723.07</v>
      </c>
      <c r="I92" s="3"/>
      <c r="J92" s="22">
        <f t="shared" si="17"/>
        <v>3.6130017908060489E-3</v>
      </c>
      <c r="K92" s="3"/>
      <c r="L92" s="3">
        <f t="shared" si="18"/>
        <v>-1723.07</v>
      </c>
      <c r="M92" s="3"/>
      <c r="N92" s="22">
        <f t="shared" si="19"/>
        <v>-1</v>
      </c>
      <c r="O92" s="12"/>
      <c r="P92" s="3">
        <v>0</v>
      </c>
      <c r="Q92" s="3"/>
      <c r="R92" s="22">
        <f t="shared" si="20"/>
        <v>0</v>
      </c>
      <c r="S92" s="3"/>
      <c r="T92" s="3">
        <v>1723.07</v>
      </c>
      <c r="U92" s="3"/>
      <c r="V92" s="22">
        <f t="shared" si="21"/>
        <v>3.6130017908060489E-3</v>
      </c>
      <c r="W92" s="3"/>
      <c r="X92" s="3">
        <f t="shared" si="22"/>
        <v>-1723.07</v>
      </c>
      <c r="Y92" s="3"/>
      <c r="Z92" s="22">
        <f t="shared" si="23"/>
        <v>-1</v>
      </c>
    </row>
    <row r="93" spans="1:26" s="24" customFormat="1" hidden="1" outlineLevel="1" x14ac:dyDescent="0.3">
      <c r="A93" s="50"/>
      <c r="B93" s="12" t="str">
        <f>CONCATENATE("          ", "5041", " - ", "PURCHASES @ COST-LOGO GIFTS")</f>
        <v xml:space="preserve">          5041 - PURCHASES @ COST-LOGO GIFTS</v>
      </c>
      <c r="C93" s="12"/>
      <c r="D93" s="3">
        <v>0</v>
      </c>
      <c r="E93" s="3"/>
      <c r="F93" s="22">
        <f t="shared" si="16"/>
        <v>0</v>
      </c>
      <c r="G93" s="3"/>
      <c r="H93" s="3">
        <v>-713.75</v>
      </c>
      <c r="I93" s="3"/>
      <c r="J93" s="22">
        <f t="shared" si="17"/>
        <v>-1.4966194224191806E-3</v>
      </c>
      <c r="K93" s="3"/>
      <c r="L93" s="3">
        <f t="shared" si="18"/>
        <v>713.75</v>
      </c>
      <c r="M93" s="3"/>
      <c r="N93" s="22">
        <f t="shared" si="19"/>
        <v>-1</v>
      </c>
      <c r="O93" s="12"/>
      <c r="P93" s="3">
        <v>0</v>
      </c>
      <c r="Q93" s="3"/>
      <c r="R93" s="22">
        <f t="shared" si="20"/>
        <v>0</v>
      </c>
      <c r="S93" s="3"/>
      <c r="T93" s="3">
        <v>-713.75</v>
      </c>
      <c r="U93" s="3"/>
      <c r="V93" s="22">
        <f t="shared" si="21"/>
        <v>-1.4966194224191806E-3</v>
      </c>
      <c r="W93" s="3"/>
      <c r="X93" s="3">
        <f t="shared" si="22"/>
        <v>713.75</v>
      </c>
      <c r="Y93" s="3"/>
      <c r="Z93" s="22">
        <f t="shared" si="23"/>
        <v>-1</v>
      </c>
    </row>
    <row r="94" spans="1:26" s="24" customFormat="1" hidden="1" outlineLevel="1" x14ac:dyDescent="0.3">
      <c r="A94" s="50"/>
      <c r="B94" s="12" t="str">
        <f>CONCATENATE("          ", "5042", " - ", "PURCHASES @ COST-EVERYDAY GIFT")</f>
        <v xml:space="preserve">          5042 - PURCHASES @ COST-EVERYDAY GIFT</v>
      </c>
      <c r="C94" s="12"/>
      <c r="D94" s="3">
        <v>0</v>
      </c>
      <c r="E94" s="3"/>
      <c r="F94" s="22">
        <f t="shared" si="16"/>
        <v>0</v>
      </c>
      <c r="G94" s="3"/>
      <c r="H94" s="3">
        <v>236.16</v>
      </c>
      <c r="I94" s="3"/>
      <c r="J94" s="22">
        <f t="shared" si="17"/>
        <v>4.9518969218705945E-4</v>
      </c>
      <c r="K94" s="3"/>
      <c r="L94" s="3">
        <f t="shared" si="18"/>
        <v>-236.16</v>
      </c>
      <c r="M94" s="3"/>
      <c r="N94" s="22">
        <f t="shared" si="19"/>
        <v>-1</v>
      </c>
      <c r="O94" s="12"/>
      <c r="P94" s="3">
        <v>0</v>
      </c>
      <c r="Q94" s="3"/>
      <c r="R94" s="22">
        <f t="shared" si="20"/>
        <v>0</v>
      </c>
      <c r="S94" s="3"/>
      <c r="T94" s="3">
        <v>236.16</v>
      </c>
      <c r="U94" s="3"/>
      <c r="V94" s="22">
        <f t="shared" si="21"/>
        <v>4.9518969218705945E-4</v>
      </c>
      <c r="W94" s="3"/>
      <c r="X94" s="3">
        <f t="shared" si="22"/>
        <v>-236.16</v>
      </c>
      <c r="Y94" s="3"/>
      <c r="Z94" s="22">
        <f t="shared" si="23"/>
        <v>-1</v>
      </c>
    </row>
    <row r="95" spans="1:26" s="24" customFormat="1" hidden="1" outlineLevel="1" x14ac:dyDescent="0.3">
      <c r="A95" s="50"/>
      <c r="B95" s="12" t="str">
        <f>CONCATENATE("          ", "5043", " - ", "PURCHASES @ COST-CARDS")</f>
        <v xml:space="preserve">          5043 - PURCHASES @ COST-CARDS</v>
      </c>
      <c r="C95" s="12"/>
      <c r="D95" s="3">
        <v>0</v>
      </c>
      <c r="E95" s="3"/>
      <c r="F95" s="22">
        <f t="shared" si="16"/>
        <v>0</v>
      </c>
      <c r="G95" s="3"/>
      <c r="H95" s="3">
        <v>308.7</v>
      </c>
      <c r="I95" s="3"/>
      <c r="J95" s="22">
        <f t="shared" si="17"/>
        <v>6.4729445282073704E-4</v>
      </c>
      <c r="K95" s="3"/>
      <c r="L95" s="3">
        <f t="shared" si="18"/>
        <v>-308.7</v>
      </c>
      <c r="M95" s="3"/>
      <c r="N95" s="22">
        <f t="shared" si="19"/>
        <v>-1</v>
      </c>
      <c r="O95" s="12"/>
      <c r="P95" s="3">
        <v>0</v>
      </c>
      <c r="Q95" s="3"/>
      <c r="R95" s="22">
        <f t="shared" si="20"/>
        <v>0</v>
      </c>
      <c r="S95" s="3"/>
      <c r="T95" s="3">
        <v>308.7</v>
      </c>
      <c r="U95" s="3"/>
      <c r="V95" s="22">
        <f t="shared" si="21"/>
        <v>6.4729445282073704E-4</v>
      </c>
      <c r="W95" s="3"/>
      <c r="X95" s="3">
        <f t="shared" si="22"/>
        <v>-308.7</v>
      </c>
      <c r="Y95" s="3"/>
      <c r="Z95" s="22">
        <f t="shared" si="23"/>
        <v>-1</v>
      </c>
    </row>
    <row r="96" spans="1:26" s="24" customFormat="1" hidden="1" outlineLevel="1" x14ac:dyDescent="0.3">
      <c r="A96" s="50"/>
      <c r="B96" s="12" t="str">
        <f>CONCATENATE("          ", "5044", " - ", "PURCHASES @ COST-ACCESSORIES")</f>
        <v xml:space="preserve">          5044 - PURCHASES @ COST-ACCESSORIES</v>
      </c>
      <c r="C96" s="12"/>
      <c r="D96" s="3">
        <v>0</v>
      </c>
      <c r="E96" s="3"/>
      <c r="F96" s="22">
        <f t="shared" si="16"/>
        <v>0</v>
      </c>
      <c r="G96" s="3"/>
      <c r="H96" s="3"/>
      <c r="I96" s="3"/>
      <c r="J96" s="22">
        <f t="shared" si="17"/>
        <v>0</v>
      </c>
      <c r="K96" s="3"/>
      <c r="L96" s="3">
        <f t="shared" si="18"/>
        <v>0</v>
      </c>
      <c r="M96" s="3"/>
      <c r="N96" s="22">
        <f t="shared" si="19"/>
        <v>0</v>
      </c>
      <c r="O96" s="12"/>
      <c r="P96" s="3">
        <v>0</v>
      </c>
      <c r="Q96" s="3"/>
      <c r="R96" s="22">
        <f t="shared" si="20"/>
        <v>0</v>
      </c>
      <c r="S96" s="3"/>
      <c r="T96" s="3"/>
      <c r="U96" s="3"/>
      <c r="V96" s="22">
        <f t="shared" si="21"/>
        <v>0</v>
      </c>
      <c r="W96" s="3"/>
      <c r="X96" s="3">
        <f t="shared" si="22"/>
        <v>0</v>
      </c>
      <c r="Y96" s="3"/>
      <c r="Z96" s="22">
        <f t="shared" si="23"/>
        <v>0</v>
      </c>
    </row>
    <row r="97" spans="1:26" s="24" customFormat="1" hidden="1" outlineLevel="1" x14ac:dyDescent="0.3">
      <c r="A97" s="50"/>
      <c r="B97" s="12" t="str">
        <f>CONCATENATE("          ", "5045", " - ", "PURCHASES @ COST-SPECIAL ORDER")</f>
        <v xml:space="preserve">          5045 - PURCHASES @ COST-SPECIAL ORDER</v>
      </c>
      <c r="C97" s="12"/>
      <c r="D97" s="3">
        <v>0</v>
      </c>
      <c r="E97" s="3"/>
      <c r="F97" s="22">
        <f t="shared" si="16"/>
        <v>0</v>
      </c>
      <c r="G97" s="3"/>
      <c r="H97" s="3">
        <v>2756.21</v>
      </c>
      <c r="I97" s="3"/>
      <c r="J97" s="22">
        <f t="shared" si="17"/>
        <v>5.7793308837351589E-3</v>
      </c>
      <c r="K97" s="3"/>
      <c r="L97" s="3">
        <f t="shared" si="18"/>
        <v>-2756.21</v>
      </c>
      <c r="M97" s="3"/>
      <c r="N97" s="22">
        <f t="shared" si="19"/>
        <v>-1</v>
      </c>
      <c r="O97" s="12"/>
      <c r="P97" s="3">
        <v>0</v>
      </c>
      <c r="Q97" s="3"/>
      <c r="R97" s="22">
        <f t="shared" si="20"/>
        <v>0</v>
      </c>
      <c r="S97" s="3"/>
      <c r="T97" s="3">
        <v>2756.21</v>
      </c>
      <c r="U97" s="3"/>
      <c r="V97" s="22">
        <f t="shared" si="21"/>
        <v>5.7793308837351589E-3</v>
      </c>
      <c r="W97" s="3"/>
      <c r="X97" s="3">
        <f t="shared" si="22"/>
        <v>-2756.21</v>
      </c>
      <c r="Y97" s="3"/>
      <c r="Z97" s="22">
        <f t="shared" si="23"/>
        <v>-1</v>
      </c>
    </row>
    <row r="98" spans="1:26" s="24" customFormat="1" hidden="1" outlineLevel="1" x14ac:dyDescent="0.3">
      <c r="A98" s="50"/>
      <c r="B98" s="12" t="str">
        <f>CONCATENATE("          ", "5053", " - ", "PURCHASES @ COST-FOOD")</f>
        <v xml:space="preserve">          5053 - PURCHASES @ COST-FOOD</v>
      </c>
      <c r="C98" s="12"/>
      <c r="D98" s="3">
        <v>26193.22</v>
      </c>
      <c r="E98" s="3"/>
      <c r="F98" s="22">
        <f t="shared" si="16"/>
        <v>5.1955296247828874E-2</v>
      </c>
      <c r="G98" s="3"/>
      <c r="H98" s="3">
        <v>8053.75</v>
      </c>
      <c r="I98" s="3"/>
      <c r="J98" s="22">
        <f t="shared" si="17"/>
        <v>1.6887423710414677E-2</v>
      </c>
      <c r="K98" s="3"/>
      <c r="L98" s="3">
        <f t="shared" si="18"/>
        <v>18139.47</v>
      </c>
      <c r="M98" s="3"/>
      <c r="N98" s="22">
        <f t="shared" si="19"/>
        <v>2.2523011019711316</v>
      </c>
      <c r="O98" s="12"/>
      <c r="P98" s="3">
        <v>26193.22</v>
      </c>
      <c r="Q98" s="3"/>
      <c r="R98" s="22">
        <f t="shared" si="20"/>
        <v>5.1955296247828874E-2</v>
      </c>
      <c r="S98" s="3"/>
      <c r="T98" s="3">
        <v>8053.75</v>
      </c>
      <c r="U98" s="3"/>
      <c r="V98" s="22">
        <f t="shared" si="21"/>
        <v>1.6887423710414677E-2</v>
      </c>
      <c r="W98" s="3"/>
      <c r="X98" s="3">
        <f t="shared" si="22"/>
        <v>18139.47</v>
      </c>
      <c r="Y98" s="3"/>
      <c r="Z98" s="22">
        <f t="shared" si="23"/>
        <v>2.2523011019711316</v>
      </c>
    </row>
    <row r="99" spans="1:26" s="24" customFormat="1" hidden="1" outlineLevel="1" x14ac:dyDescent="0.3">
      <c r="A99" s="50"/>
      <c r="B99" s="12" t="str">
        <f>CONCATENATE("          ", "5059", " - ", "PURCHASES @ COST-FOOD")</f>
        <v xml:space="preserve">          5059 - PURCHASES @ COST-FOOD</v>
      </c>
      <c r="C99" s="12"/>
      <c r="D99" s="3">
        <v>-4005</v>
      </c>
      <c r="E99" s="3"/>
      <c r="F99" s="22">
        <f t="shared" si="16"/>
        <v>-7.9440771876292653E-3</v>
      </c>
      <c r="G99" s="3"/>
      <c r="H99" s="3">
        <v>3409</v>
      </c>
      <c r="I99" s="3"/>
      <c r="J99" s="22">
        <f t="shared" si="17"/>
        <v>7.1481269506507693E-3</v>
      </c>
      <c r="K99" s="3"/>
      <c r="L99" s="3">
        <f t="shared" si="18"/>
        <v>-7414</v>
      </c>
      <c r="M99" s="3"/>
      <c r="N99" s="22">
        <f t="shared" si="19"/>
        <v>-2.1748313288354355</v>
      </c>
      <c r="O99" s="12"/>
      <c r="P99" s="3">
        <v>-4005</v>
      </c>
      <c r="Q99" s="3"/>
      <c r="R99" s="22">
        <f t="shared" si="20"/>
        <v>-7.9440771876292653E-3</v>
      </c>
      <c r="S99" s="3"/>
      <c r="T99" s="3">
        <v>3409</v>
      </c>
      <c r="U99" s="3"/>
      <c r="V99" s="22">
        <f t="shared" si="21"/>
        <v>7.1481269506507693E-3</v>
      </c>
      <c r="W99" s="3"/>
      <c r="X99" s="3">
        <f t="shared" si="22"/>
        <v>-7414</v>
      </c>
      <c r="Y99" s="3"/>
      <c r="Z99" s="22">
        <f t="shared" si="23"/>
        <v>-2.1748313288354355</v>
      </c>
    </row>
    <row r="100" spans="1:26" s="24" customFormat="1" hidden="1" outlineLevel="1" x14ac:dyDescent="0.3">
      <c r="A100" s="50"/>
      <c r="B100" s="12" t="str">
        <f>CONCATENATE("          ", "5081", " - ", "PURCHASES @ COST-ELECTRONICS")</f>
        <v xml:space="preserve">          5081 - PURCHASES @ COST-ELECTRONICS</v>
      </c>
      <c r="C100" s="12"/>
      <c r="D100" s="3">
        <v>0</v>
      </c>
      <c r="E100" s="3"/>
      <c r="F100" s="22">
        <f t="shared" si="16"/>
        <v>0</v>
      </c>
      <c r="G100" s="3"/>
      <c r="H100" s="3">
        <v>6676.92</v>
      </c>
      <c r="I100" s="3"/>
      <c r="J100" s="22">
        <f t="shared" si="17"/>
        <v>1.4000431739319195E-2</v>
      </c>
      <c r="K100" s="3"/>
      <c r="L100" s="3">
        <f t="shared" si="18"/>
        <v>-6676.92</v>
      </c>
      <c r="M100" s="3"/>
      <c r="N100" s="22">
        <f t="shared" si="19"/>
        <v>-1</v>
      </c>
      <c r="O100" s="12"/>
      <c r="P100" s="3">
        <v>0</v>
      </c>
      <c r="Q100" s="3"/>
      <c r="R100" s="22">
        <f t="shared" si="20"/>
        <v>0</v>
      </c>
      <c r="S100" s="3"/>
      <c r="T100" s="3">
        <v>6676.92</v>
      </c>
      <c r="U100" s="3"/>
      <c r="V100" s="22">
        <f t="shared" si="21"/>
        <v>1.4000431739319195E-2</v>
      </c>
      <c r="W100" s="3"/>
      <c r="X100" s="3">
        <f t="shared" si="22"/>
        <v>-6676.92</v>
      </c>
      <c r="Y100" s="3"/>
      <c r="Z100" s="22">
        <f t="shared" si="23"/>
        <v>-1</v>
      </c>
    </row>
    <row r="101" spans="1:26" s="24" customFormat="1" hidden="1" outlineLevel="1" x14ac:dyDescent="0.3">
      <c r="A101" s="50"/>
      <c r="B101" s="12" t="str">
        <f>CONCATENATE("          ", "5082", " - ", "PURCHASES @ COST-COMPUTER HARD")</f>
        <v xml:space="preserve">          5082 - PURCHASES @ COST-COMPUTER HARD</v>
      </c>
      <c r="C101" s="12"/>
      <c r="D101" s="3">
        <v>-10902.62</v>
      </c>
      <c r="E101" s="3"/>
      <c r="F101" s="22">
        <f t="shared" si="16"/>
        <v>-2.1625781479997649E-2</v>
      </c>
      <c r="G101" s="3"/>
      <c r="H101" s="3">
        <v>186472.57</v>
      </c>
      <c r="I101" s="3"/>
      <c r="J101" s="22">
        <f t="shared" si="17"/>
        <v>0.39100311034734886</v>
      </c>
      <c r="K101" s="3"/>
      <c r="L101" s="3">
        <f t="shared" si="18"/>
        <v>-197375.19</v>
      </c>
      <c r="M101" s="3"/>
      <c r="N101" s="22">
        <f t="shared" si="19"/>
        <v>-1.0584676877676968</v>
      </c>
      <c r="O101" s="12"/>
      <c r="P101" s="3">
        <v>-10902.62</v>
      </c>
      <c r="Q101" s="3"/>
      <c r="R101" s="22">
        <f t="shared" si="20"/>
        <v>-2.1625781479997649E-2</v>
      </c>
      <c r="S101" s="3"/>
      <c r="T101" s="3">
        <v>186472.57</v>
      </c>
      <c r="U101" s="3"/>
      <c r="V101" s="22">
        <f t="shared" si="21"/>
        <v>0.39100311034734886</v>
      </c>
      <c r="W101" s="3"/>
      <c r="X101" s="3">
        <f t="shared" si="22"/>
        <v>-197375.19</v>
      </c>
      <c r="Y101" s="3"/>
      <c r="Z101" s="22">
        <f t="shared" si="23"/>
        <v>-1.0584676877676968</v>
      </c>
    </row>
    <row r="102" spans="1:26" s="24" customFormat="1" hidden="1" outlineLevel="1" x14ac:dyDescent="0.3">
      <c r="A102" s="50"/>
      <c r="B102" s="12" t="str">
        <f>CONCATENATE("          ", "5083", " - ", "PURCHASES @ COST-COMPUTER EQUI")</f>
        <v xml:space="preserve">          5083 - PURCHASES @ COST-COMPUTER EQUI</v>
      </c>
      <c r="C102" s="12"/>
      <c r="D102" s="3">
        <v>0</v>
      </c>
      <c r="E102" s="3"/>
      <c r="F102" s="22">
        <f t="shared" si="16"/>
        <v>0</v>
      </c>
      <c r="G102" s="3"/>
      <c r="H102" s="3">
        <v>29938.3</v>
      </c>
      <c r="I102" s="3"/>
      <c r="J102" s="22">
        <f t="shared" si="17"/>
        <v>6.2775819620612475E-2</v>
      </c>
      <c r="K102" s="3"/>
      <c r="L102" s="3">
        <f t="shared" si="18"/>
        <v>-29938.3</v>
      </c>
      <c r="M102" s="3"/>
      <c r="N102" s="22">
        <f t="shared" si="19"/>
        <v>-1</v>
      </c>
      <c r="O102" s="12"/>
      <c r="P102" s="3">
        <v>0</v>
      </c>
      <c r="Q102" s="3"/>
      <c r="R102" s="22">
        <f t="shared" si="20"/>
        <v>0</v>
      </c>
      <c r="S102" s="3"/>
      <c r="T102" s="3">
        <v>29938.3</v>
      </c>
      <c r="U102" s="3"/>
      <c r="V102" s="22">
        <f t="shared" si="21"/>
        <v>6.2775819620612475E-2</v>
      </c>
      <c r="W102" s="3"/>
      <c r="X102" s="3">
        <f t="shared" si="22"/>
        <v>-29938.3</v>
      </c>
      <c r="Y102" s="3"/>
      <c r="Z102" s="22">
        <f t="shared" si="23"/>
        <v>-1</v>
      </c>
    </row>
    <row r="103" spans="1:26" s="24" customFormat="1" hidden="1" outlineLevel="1" x14ac:dyDescent="0.3">
      <c r="A103" s="50"/>
      <c r="B103" s="12" t="str">
        <f>CONCATENATE("          ", "5085", " - ", "PURCHASES @ COST-SOFTWARE")</f>
        <v xml:space="preserve">          5085 - PURCHASES @ COST-SOFTWARE</v>
      </c>
      <c r="C103" s="12"/>
      <c r="D103" s="3">
        <v>0</v>
      </c>
      <c r="E103" s="3"/>
      <c r="F103" s="22">
        <f t="shared" si="16"/>
        <v>0</v>
      </c>
      <c r="G103" s="3"/>
      <c r="H103" s="3">
        <v>3864.34</v>
      </c>
      <c r="I103" s="3"/>
      <c r="J103" s="22">
        <f t="shared" si="17"/>
        <v>8.1029019948600164E-3</v>
      </c>
      <c r="K103" s="3"/>
      <c r="L103" s="3">
        <f t="shared" si="18"/>
        <v>-3864.34</v>
      </c>
      <c r="M103" s="3"/>
      <c r="N103" s="22">
        <f t="shared" si="19"/>
        <v>-1</v>
      </c>
      <c r="O103" s="12"/>
      <c r="P103" s="3">
        <v>0</v>
      </c>
      <c r="Q103" s="3"/>
      <c r="R103" s="22">
        <f t="shared" si="20"/>
        <v>0</v>
      </c>
      <c r="S103" s="3"/>
      <c r="T103" s="3">
        <v>3864.34</v>
      </c>
      <c r="U103" s="3"/>
      <c r="V103" s="22">
        <f t="shared" si="21"/>
        <v>8.1029019948600164E-3</v>
      </c>
      <c r="W103" s="3"/>
      <c r="X103" s="3">
        <f t="shared" si="22"/>
        <v>-3864.34</v>
      </c>
      <c r="Y103" s="3"/>
      <c r="Z103" s="22">
        <f t="shared" si="23"/>
        <v>-1</v>
      </c>
    </row>
    <row r="104" spans="1:26" s="24" customFormat="1" hidden="1" outlineLevel="1" x14ac:dyDescent="0.3">
      <c r="A104" s="50"/>
      <c r="B104" s="12" t="str">
        <f>CONCATENATE("          ", "5086", " - ", "PURCHASES @ COST-COMPUTER SUPP")</f>
        <v xml:space="preserve">          5086 - PURCHASES @ COST-COMPUTER SUPP</v>
      </c>
      <c r="C104" s="12"/>
      <c r="D104" s="3">
        <v>0</v>
      </c>
      <c r="E104" s="3"/>
      <c r="F104" s="22">
        <f t="shared" si="16"/>
        <v>0</v>
      </c>
      <c r="G104" s="3"/>
      <c r="H104" s="3">
        <v>87.25</v>
      </c>
      <c r="I104" s="3"/>
      <c r="J104" s="22">
        <f t="shared" si="17"/>
        <v>1.8294927440430615E-4</v>
      </c>
      <c r="K104" s="3"/>
      <c r="L104" s="3">
        <f t="shared" si="18"/>
        <v>-87.25</v>
      </c>
      <c r="M104" s="3"/>
      <c r="N104" s="22">
        <f t="shared" si="19"/>
        <v>-1</v>
      </c>
      <c r="O104" s="12"/>
      <c r="P104" s="3">
        <v>0</v>
      </c>
      <c r="Q104" s="3"/>
      <c r="R104" s="22">
        <f t="shared" si="20"/>
        <v>0</v>
      </c>
      <c r="S104" s="3"/>
      <c r="T104" s="3">
        <v>87.25</v>
      </c>
      <c r="U104" s="3"/>
      <c r="V104" s="22">
        <f t="shared" si="21"/>
        <v>1.8294927440430615E-4</v>
      </c>
      <c r="W104" s="3"/>
      <c r="X104" s="3">
        <f t="shared" si="22"/>
        <v>-87.25</v>
      </c>
      <c r="Y104" s="3"/>
      <c r="Z104" s="22">
        <f t="shared" si="23"/>
        <v>-1</v>
      </c>
    </row>
    <row r="105" spans="1:26" s="24" customFormat="1" hidden="1" outlineLevel="1" x14ac:dyDescent="0.3">
      <c r="A105" s="50"/>
      <c r="B105" s="12" t="str">
        <f>CONCATENATE("          ", "5092", " - ", "PURCHASES @ COST-GRAD MERCH")</f>
        <v xml:space="preserve">          5092 - PURCHASES @ COST-GRAD MERCH</v>
      </c>
      <c r="C105" s="12"/>
      <c r="D105" s="3"/>
      <c r="E105" s="3"/>
      <c r="F105" s="22">
        <f t="shared" si="16"/>
        <v>0</v>
      </c>
      <c r="G105" s="3"/>
      <c r="H105" s="3">
        <v>0</v>
      </c>
      <c r="I105" s="3"/>
      <c r="J105" s="22">
        <f t="shared" si="17"/>
        <v>0</v>
      </c>
      <c r="K105" s="3"/>
      <c r="L105" s="3">
        <f t="shared" si="18"/>
        <v>0</v>
      </c>
      <c r="M105" s="3"/>
      <c r="N105" s="22">
        <f t="shared" si="19"/>
        <v>0</v>
      </c>
      <c r="O105" s="12"/>
      <c r="P105" s="3"/>
      <c r="Q105" s="3"/>
      <c r="R105" s="22">
        <f t="shared" si="20"/>
        <v>0</v>
      </c>
      <c r="S105" s="3"/>
      <c r="T105" s="3">
        <v>0</v>
      </c>
      <c r="U105" s="3"/>
      <c r="V105" s="22">
        <f t="shared" si="21"/>
        <v>0</v>
      </c>
      <c r="W105" s="3"/>
      <c r="X105" s="3">
        <f t="shared" si="22"/>
        <v>0</v>
      </c>
      <c r="Y105" s="3"/>
      <c r="Z105" s="22">
        <f t="shared" si="23"/>
        <v>0</v>
      </c>
    </row>
    <row r="106" spans="1:26" s="24" customFormat="1" hidden="1" outlineLevel="1" x14ac:dyDescent="0.3">
      <c r="A106" s="50"/>
      <c r="B106" s="12" t="str">
        <f>CONCATENATE("          ", "5200", " - ", "PURCHASES OFFSET")</f>
        <v xml:space="preserve">          5200 - PURCHASES OFFSET</v>
      </c>
      <c r="C106" s="12"/>
      <c r="D106" s="3">
        <v>-443731.32</v>
      </c>
      <c r="E106" s="3"/>
      <c r="F106" s="22">
        <f t="shared" si="16"/>
        <v>-0.88015876570502416</v>
      </c>
      <c r="G106" s="3"/>
      <c r="H106" s="3">
        <v>-442822.05</v>
      </c>
      <c r="I106" s="3"/>
      <c r="J106" s="22">
        <f t="shared" si="17"/>
        <v>-0.92852690816879513</v>
      </c>
      <c r="K106" s="3"/>
      <c r="L106" s="3">
        <f t="shared" si="18"/>
        <v>-909.27000000001863</v>
      </c>
      <c r="M106" s="3"/>
      <c r="N106" s="22">
        <f t="shared" si="19"/>
        <v>2.0533530342493529E-3</v>
      </c>
      <c r="O106" s="12"/>
      <c r="P106" s="3">
        <v>-443731.32</v>
      </c>
      <c r="Q106" s="3"/>
      <c r="R106" s="22">
        <f t="shared" si="20"/>
        <v>-0.88015876570502416</v>
      </c>
      <c r="S106" s="3"/>
      <c r="T106" s="3">
        <v>-442822.05</v>
      </c>
      <c r="U106" s="3"/>
      <c r="V106" s="22">
        <f t="shared" si="21"/>
        <v>-0.92852690816879513</v>
      </c>
      <c r="W106" s="3"/>
      <c r="X106" s="3">
        <f t="shared" si="22"/>
        <v>-909.27000000001863</v>
      </c>
      <c r="Y106" s="3"/>
      <c r="Z106" s="22">
        <f t="shared" si="23"/>
        <v>2.0533530342493529E-3</v>
      </c>
    </row>
    <row r="107" spans="1:26" s="24" customFormat="1" hidden="1" outlineLevel="1" x14ac:dyDescent="0.3">
      <c r="A107" s="50"/>
      <c r="B107" s="12" t="str">
        <f>CONCATENATE("          ", "5300", " - ", "COG$ OFFSET")</f>
        <v xml:space="preserve">          5300 - COG$ OFFSET</v>
      </c>
      <c r="C107" s="12"/>
      <c r="D107" s="3">
        <v>218685.5</v>
      </c>
      <c r="E107" s="3"/>
      <c r="F107" s="22">
        <f t="shared" si="16"/>
        <v>0.43377140869295877</v>
      </c>
      <c r="G107" s="3"/>
      <c r="H107" s="3">
        <v>319584</v>
      </c>
      <c r="I107" s="3"/>
      <c r="J107" s="22">
        <f t="shared" si="17"/>
        <v>0.67011645743525239</v>
      </c>
      <c r="K107" s="3"/>
      <c r="L107" s="3">
        <f t="shared" si="18"/>
        <v>-100898.5</v>
      </c>
      <c r="M107" s="3"/>
      <c r="N107" s="22">
        <f t="shared" si="19"/>
        <v>-0.3157182462200861</v>
      </c>
      <c r="O107" s="12"/>
      <c r="P107" s="3">
        <v>218685.5</v>
      </c>
      <c r="Q107" s="3"/>
      <c r="R107" s="22">
        <f t="shared" si="20"/>
        <v>0.43377140869295877</v>
      </c>
      <c r="S107" s="3"/>
      <c r="T107" s="3">
        <v>319584</v>
      </c>
      <c r="U107" s="3"/>
      <c r="V107" s="22">
        <f t="shared" si="21"/>
        <v>0.67011645743525239</v>
      </c>
      <c r="W107" s="3"/>
      <c r="X107" s="3">
        <f t="shared" si="22"/>
        <v>-100898.5</v>
      </c>
      <c r="Y107" s="3"/>
      <c r="Z107" s="22">
        <f t="shared" si="23"/>
        <v>-0.3157182462200861</v>
      </c>
    </row>
    <row r="108" spans="1:26" s="24" customFormat="1" hidden="1" outlineLevel="1" x14ac:dyDescent="0.3">
      <c r="A108" s="50"/>
      <c r="B108" s="12" t="str">
        <f>CONCATENATE("          ", "5500", " - ", "FREIGHT-IN")</f>
        <v xml:space="preserve">          5500 - FREIGHT-IN</v>
      </c>
      <c r="C108" s="12"/>
      <c r="D108" s="3">
        <v>3605.14</v>
      </c>
      <c r="E108" s="3"/>
      <c r="F108" s="22">
        <f t="shared" si="16"/>
        <v>7.1509389343844621E-3</v>
      </c>
      <c r="G108" s="3"/>
      <c r="H108" s="3">
        <v>0</v>
      </c>
      <c r="I108" s="3"/>
      <c r="J108" s="22">
        <f t="shared" si="17"/>
        <v>0</v>
      </c>
      <c r="K108" s="3"/>
      <c r="L108" s="3">
        <f t="shared" si="18"/>
        <v>3605.14</v>
      </c>
      <c r="M108" s="3"/>
      <c r="N108" s="22">
        <f t="shared" si="19"/>
        <v>0</v>
      </c>
      <c r="O108" s="12"/>
      <c r="P108" s="3">
        <v>3605.14</v>
      </c>
      <c r="Q108" s="3"/>
      <c r="R108" s="22">
        <f t="shared" si="20"/>
        <v>7.1509389343844621E-3</v>
      </c>
      <c r="S108" s="3"/>
      <c r="T108" s="3">
        <v>0</v>
      </c>
      <c r="U108" s="3"/>
      <c r="V108" s="22">
        <f t="shared" si="21"/>
        <v>0</v>
      </c>
      <c r="W108" s="3"/>
      <c r="X108" s="3">
        <f t="shared" si="22"/>
        <v>3605.14</v>
      </c>
      <c r="Y108" s="3"/>
      <c r="Z108" s="22">
        <f t="shared" si="23"/>
        <v>0</v>
      </c>
    </row>
    <row r="109" spans="1:26" s="24" customFormat="1" hidden="1" outlineLevel="1" x14ac:dyDescent="0.3">
      <c r="A109" s="50"/>
      <c r="B109" s="12" t="str">
        <f>CONCATENATE("          ", "5501", " - ", "FREIGHT-IN-NEW TEXT")</f>
        <v xml:space="preserve">          5501 - FREIGHT-IN-NEW TEXT</v>
      </c>
      <c r="C109" s="12"/>
      <c r="D109" s="3">
        <v>0</v>
      </c>
      <c r="E109" s="3"/>
      <c r="F109" s="22">
        <f t="shared" si="16"/>
        <v>0</v>
      </c>
      <c r="G109" s="3"/>
      <c r="H109" s="3">
        <v>802.72</v>
      </c>
      <c r="I109" s="3"/>
      <c r="J109" s="22">
        <f t="shared" si="17"/>
        <v>1.6831752613160416E-3</v>
      </c>
      <c r="K109" s="3"/>
      <c r="L109" s="3">
        <f t="shared" si="18"/>
        <v>-802.72</v>
      </c>
      <c r="M109" s="3"/>
      <c r="N109" s="22">
        <f t="shared" si="19"/>
        <v>-1</v>
      </c>
      <c r="O109" s="12"/>
      <c r="P109" s="3">
        <v>0</v>
      </c>
      <c r="Q109" s="3"/>
      <c r="R109" s="22">
        <f t="shared" si="20"/>
        <v>0</v>
      </c>
      <c r="S109" s="3"/>
      <c r="T109" s="3">
        <v>802.72</v>
      </c>
      <c r="U109" s="3"/>
      <c r="V109" s="22">
        <f t="shared" si="21"/>
        <v>1.6831752613160416E-3</v>
      </c>
      <c r="W109" s="3"/>
      <c r="X109" s="3">
        <f t="shared" si="22"/>
        <v>-802.72</v>
      </c>
      <c r="Y109" s="3"/>
      <c r="Z109" s="22">
        <f t="shared" si="23"/>
        <v>-1</v>
      </c>
    </row>
    <row r="110" spans="1:26" s="24" customFormat="1" hidden="1" outlineLevel="1" x14ac:dyDescent="0.3">
      <c r="A110" s="50"/>
      <c r="B110" s="12" t="str">
        <f>CONCATENATE("          ", "5502", " - ", "FREIGHT-IN-USED TEXT")</f>
        <v xml:space="preserve">          5502 - FREIGHT-IN-USED TEXT</v>
      </c>
      <c r="C110" s="12"/>
      <c r="D110" s="3">
        <v>0</v>
      </c>
      <c r="E110" s="3"/>
      <c r="F110" s="22">
        <f t="shared" si="16"/>
        <v>0</v>
      </c>
      <c r="G110" s="3"/>
      <c r="H110" s="3">
        <v>47.89</v>
      </c>
      <c r="I110" s="3"/>
      <c r="J110" s="22">
        <f t="shared" si="17"/>
        <v>1.0041765903979623E-4</v>
      </c>
      <c r="K110" s="3"/>
      <c r="L110" s="3">
        <f t="shared" si="18"/>
        <v>-47.89</v>
      </c>
      <c r="M110" s="3"/>
      <c r="N110" s="22">
        <f t="shared" si="19"/>
        <v>-1</v>
      </c>
      <c r="O110" s="12"/>
      <c r="P110" s="3">
        <v>0</v>
      </c>
      <c r="Q110" s="3"/>
      <c r="R110" s="22">
        <f t="shared" si="20"/>
        <v>0</v>
      </c>
      <c r="S110" s="3"/>
      <c r="T110" s="3">
        <v>47.89</v>
      </c>
      <c r="U110" s="3"/>
      <c r="V110" s="22">
        <f t="shared" si="21"/>
        <v>1.0041765903979623E-4</v>
      </c>
      <c r="W110" s="3"/>
      <c r="X110" s="3">
        <f t="shared" si="22"/>
        <v>-47.89</v>
      </c>
      <c r="Y110" s="3"/>
      <c r="Z110" s="22">
        <f t="shared" si="23"/>
        <v>-1</v>
      </c>
    </row>
    <row r="111" spans="1:26" s="24" customFormat="1" hidden="1" outlineLevel="1" x14ac:dyDescent="0.3">
      <c r="A111" s="50"/>
      <c r="B111" s="12" t="str">
        <f>CONCATENATE("          ", "5518", " - ", "FREIGHT-IN-STUDY GUIDES")</f>
        <v xml:space="preserve">          5518 - FREIGHT-IN-STUDY GUIDES</v>
      </c>
      <c r="C111" s="12"/>
      <c r="D111" s="3">
        <v>0</v>
      </c>
      <c r="E111" s="3"/>
      <c r="F111" s="22">
        <f t="shared" si="16"/>
        <v>0</v>
      </c>
      <c r="G111" s="3"/>
      <c r="H111" s="3"/>
      <c r="I111" s="3"/>
      <c r="J111" s="22">
        <f t="shared" si="17"/>
        <v>0</v>
      </c>
      <c r="K111" s="3"/>
      <c r="L111" s="3">
        <f t="shared" si="18"/>
        <v>0</v>
      </c>
      <c r="M111" s="3"/>
      <c r="N111" s="22">
        <f t="shared" si="19"/>
        <v>0</v>
      </c>
      <c r="O111" s="12"/>
      <c r="P111" s="3">
        <v>0</v>
      </c>
      <c r="Q111" s="3"/>
      <c r="R111" s="22">
        <f t="shared" si="20"/>
        <v>0</v>
      </c>
      <c r="S111" s="3"/>
      <c r="T111" s="3"/>
      <c r="U111" s="3"/>
      <c r="V111" s="22">
        <f t="shared" si="21"/>
        <v>0</v>
      </c>
      <c r="W111" s="3"/>
      <c r="X111" s="3">
        <f t="shared" si="22"/>
        <v>0</v>
      </c>
      <c r="Y111" s="3"/>
      <c r="Z111" s="22">
        <f t="shared" si="23"/>
        <v>0</v>
      </c>
    </row>
    <row r="112" spans="1:26" s="24" customFormat="1" hidden="1" outlineLevel="1" x14ac:dyDescent="0.3">
      <c r="A112" s="50"/>
      <c r="B112" s="12" t="str">
        <f>CONCATENATE("          ", "5528", " - ", "FREIGHT-IN-ART/TECH")</f>
        <v xml:space="preserve">          5528 - FREIGHT-IN-ART/TECH</v>
      </c>
      <c r="C112" s="12"/>
      <c r="D112" s="3"/>
      <c r="E112" s="3"/>
      <c r="F112" s="22">
        <f t="shared" si="16"/>
        <v>0</v>
      </c>
      <c r="G112" s="3"/>
      <c r="H112" s="3">
        <v>38.049999999999997</v>
      </c>
      <c r="I112" s="3"/>
      <c r="J112" s="22">
        <f t="shared" si="17"/>
        <v>7.9784755198668744E-5</v>
      </c>
      <c r="K112" s="3"/>
      <c r="L112" s="3">
        <f t="shared" si="18"/>
        <v>-38.049999999999997</v>
      </c>
      <c r="M112" s="3"/>
      <c r="N112" s="22">
        <f t="shared" si="19"/>
        <v>-1</v>
      </c>
      <c r="O112" s="12"/>
      <c r="P112" s="3"/>
      <c r="Q112" s="3"/>
      <c r="R112" s="22">
        <f t="shared" si="20"/>
        <v>0</v>
      </c>
      <c r="S112" s="3"/>
      <c r="T112" s="3">
        <v>38.049999999999997</v>
      </c>
      <c r="U112" s="3"/>
      <c r="V112" s="22">
        <f t="shared" si="21"/>
        <v>7.9784755198668744E-5</v>
      </c>
      <c r="W112" s="3"/>
      <c r="X112" s="3">
        <f t="shared" si="22"/>
        <v>-38.049999999999997</v>
      </c>
      <c r="Y112" s="3"/>
      <c r="Z112" s="22">
        <f t="shared" si="23"/>
        <v>-1</v>
      </c>
    </row>
    <row r="113" spans="1:26" s="24" customFormat="1" hidden="1" outlineLevel="1" x14ac:dyDescent="0.3">
      <c r="A113" s="50"/>
      <c r="B113" s="12" t="str">
        <f>CONCATENATE("          ", "5540", " - ", "FREIGHT-IN-LOGO CLOTHING")</f>
        <v xml:space="preserve">          5540 - FREIGHT-IN-LOGO CLOTHING</v>
      </c>
      <c r="C113" s="12"/>
      <c r="D113" s="3">
        <v>0</v>
      </c>
      <c r="E113" s="3"/>
      <c r="F113" s="22">
        <f t="shared" si="16"/>
        <v>0</v>
      </c>
      <c r="G113" s="3"/>
      <c r="H113" s="3">
        <v>909.83</v>
      </c>
      <c r="I113" s="3"/>
      <c r="J113" s="22">
        <f t="shared" si="17"/>
        <v>1.9077677745704283E-3</v>
      </c>
      <c r="K113" s="3"/>
      <c r="L113" s="3">
        <f t="shared" si="18"/>
        <v>-909.83</v>
      </c>
      <c r="M113" s="3"/>
      <c r="N113" s="22">
        <f t="shared" si="19"/>
        <v>-1</v>
      </c>
      <c r="O113" s="12"/>
      <c r="P113" s="3">
        <v>0</v>
      </c>
      <c r="Q113" s="3"/>
      <c r="R113" s="22">
        <f t="shared" si="20"/>
        <v>0</v>
      </c>
      <c r="S113" s="3"/>
      <c r="T113" s="3">
        <v>909.83</v>
      </c>
      <c r="U113" s="3"/>
      <c r="V113" s="22">
        <f t="shared" si="21"/>
        <v>1.9077677745704283E-3</v>
      </c>
      <c r="W113" s="3"/>
      <c r="X113" s="3">
        <f t="shared" si="22"/>
        <v>-909.83</v>
      </c>
      <c r="Y113" s="3"/>
      <c r="Z113" s="22">
        <f t="shared" si="23"/>
        <v>-1</v>
      </c>
    </row>
    <row r="114" spans="1:26" s="24" customFormat="1" hidden="1" outlineLevel="1" x14ac:dyDescent="0.3">
      <c r="A114" s="50"/>
      <c r="B114" s="12" t="str">
        <f>CONCATENATE("          ", "5541", " - ", "FREIGHT-IN-LOGO GIFTS")</f>
        <v xml:space="preserve">          5541 - FREIGHT-IN-LOGO GIFTS</v>
      </c>
      <c r="C114" s="12"/>
      <c r="D114" s="3">
        <v>0</v>
      </c>
      <c r="E114" s="3"/>
      <c r="F114" s="22">
        <f t="shared" si="16"/>
        <v>0</v>
      </c>
      <c r="G114" s="3"/>
      <c r="H114" s="3">
        <v>83.58</v>
      </c>
      <c r="I114" s="3"/>
      <c r="J114" s="22">
        <f t="shared" si="17"/>
        <v>1.7525387226030839E-4</v>
      </c>
      <c r="K114" s="3"/>
      <c r="L114" s="3">
        <f t="shared" si="18"/>
        <v>-83.58</v>
      </c>
      <c r="M114" s="3"/>
      <c r="N114" s="22">
        <f t="shared" si="19"/>
        <v>-1</v>
      </c>
      <c r="O114" s="12"/>
      <c r="P114" s="3">
        <v>0</v>
      </c>
      <c r="Q114" s="3"/>
      <c r="R114" s="22">
        <f t="shared" si="20"/>
        <v>0</v>
      </c>
      <c r="S114" s="3"/>
      <c r="T114" s="3">
        <v>83.58</v>
      </c>
      <c r="U114" s="3"/>
      <c r="V114" s="22">
        <f t="shared" si="21"/>
        <v>1.7525387226030839E-4</v>
      </c>
      <c r="W114" s="3"/>
      <c r="X114" s="3">
        <f t="shared" si="22"/>
        <v>-83.58</v>
      </c>
      <c r="Y114" s="3"/>
      <c r="Z114" s="22">
        <f t="shared" si="23"/>
        <v>-1</v>
      </c>
    </row>
    <row r="115" spans="1:26" s="24" customFormat="1" hidden="1" outlineLevel="1" x14ac:dyDescent="0.3">
      <c r="A115" s="50"/>
      <c r="B115" s="12" t="str">
        <f>CONCATENATE("          ", "5542", " - ", "FREIGHT-IN-EVERYDAY GIFTS")</f>
        <v xml:space="preserve">          5542 - FREIGHT-IN-EVERYDAY GIFTS</v>
      </c>
      <c r="C115" s="12"/>
      <c r="D115" s="3">
        <v>0</v>
      </c>
      <c r="E115" s="3"/>
      <c r="F115" s="22">
        <f t="shared" si="16"/>
        <v>0</v>
      </c>
      <c r="G115" s="3"/>
      <c r="H115" s="3">
        <v>5.94</v>
      </c>
      <c r="I115" s="3"/>
      <c r="J115" s="22">
        <f t="shared" si="17"/>
        <v>1.2455228538241588E-5</v>
      </c>
      <c r="K115" s="3"/>
      <c r="L115" s="3">
        <f t="shared" si="18"/>
        <v>-5.94</v>
      </c>
      <c r="M115" s="3"/>
      <c r="N115" s="22">
        <f t="shared" si="19"/>
        <v>-1</v>
      </c>
      <c r="O115" s="12"/>
      <c r="P115" s="3">
        <v>0</v>
      </c>
      <c r="Q115" s="3"/>
      <c r="R115" s="22">
        <f t="shared" si="20"/>
        <v>0</v>
      </c>
      <c r="S115" s="3"/>
      <c r="T115" s="3">
        <v>5.94</v>
      </c>
      <c r="U115" s="3"/>
      <c r="V115" s="22">
        <f t="shared" si="21"/>
        <v>1.2455228538241588E-5</v>
      </c>
      <c r="W115" s="3"/>
      <c r="X115" s="3">
        <f t="shared" si="22"/>
        <v>-5.94</v>
      </c>
      <c r="Y115" s="3"/>
      <c r="Z115" s="22">
        <f t="shared" si="23"/>
        <v>-1</v>
      </c>
    </row>
    <row r="116" spans="1:26" s="24" customFormat="1" hidden="1" outlineLevel="1" x14ac:dyDescent="0.3">
      <c r="A116" s="50"/>
      <c r="B116" s="12" t="str">
        <f>CONCATENATE("          ", "5544", " - ", "FREIGHT-IN-ACCESSORIES")</f>
        <v xml:space="preserve">          5544 - FREIGHT-IN-ACCESSORIES</v>
      </c>
      <c r="C116" s="12"/>
      <c r="D116" s="3">
        <v>0</v>
      </c>
      <c r="E116" s="3"/>
      <c r="F116" s="22">
        <f t="shared" si="16"/>
        <v>0</v>
      </c>
      <c r="G116" s="3"/>
      <c r="H116" s="3"/>
      <c r="I116" s="3"/>
      <c r="J116" s="22">
        <f t="shared" si="17"/>
        <v>0</v>
      </c>
      <c r="K116" s="3"/>
      <c r="L116" s="3">
        <f t="shared" si="18"/>
        <v>0</v>
      </c>
      <c r="M116" s="3"/>
      <c r="N116" s="22">
        <f t="shared" si="19"/>
        <v>0</v>
      </c>
      <c r="O116" s="12"/>
      <c r="P116" s="3">
        <v>0</v>
      </c>
      <c r="Q116" s="3"/>
      <c r="R116" s="22">
        <f t="shared" si="20"/>
        <v>0</v>
      </c>
      <c r="S116" s="3"/>
      <c r="T116" s="3"/>
      <c r="U116" s="3"/>
      <c r="V116" s="22">
        <f t="shared" si="21"/>
        <v>0</v>
      </c>
      <c r="W116" s="3"/>
      <c r="X116" s="3">
        <f t="shared" si="22"/>
        <v>0</v>
      </c>
      <c r="Y116" s="3"/>
      <c r="Z116" s="22">
        <f t="shared" si="23"/>
        <v>0</v>
      </c>
    </row>
    <row r="117" spans="1:26" s="24" customFormat="1" hidden="1" outlineLevel="1" x14ac:dyDescent="0.3">
      <c r="A117" s="50"/>
      <c r="B117" s="12" t="str">
        <f>CONCATENATE("          ", "5545", " - ", "FREIGHT-IN-SPECIAL ORDERS")</f>
        <v xml:space="preserve">          5545 - FREIGHT-IN-SPECIAL ORDERS</v>
      </c>
      <c r="C117" s="12"/>
      <c r="D117" s="3">
        <v>0</v>
      </c>
      <c r="E117" s="3"/>
      <c r="F117" s="22">
        <f t="shared" si="16"/>
        <v>0</v>
      </c>
      <c r="G117" s="3"/>
      <c r="H117" s="3">
        <v>300.39999999999998</v>
      </c>
      <c r="I117" s="3"/>
      <c r="J117" s="22">
        <f t="shared" si="17"/>
        <v>6.2989068230433882E-4</v>
      </c>
      <c r="K117" s="3"/>
      <c r="L117" s="3">
        <f t="shared" si="18"/>
        <v>-300.39999999999998</v>
      </c>
      <c r="M117" s="3"/>
      <c r="N117" s="22">
        <f t="shared" si="19"/>
        <v>-1</v>
      </c>
      <c r="O117" s="12"/>
      <c r="P117" s="3">
        <v>0</v>
      </c>
      <c r="Q117" s="3"/>
      <c r="R117" s="22">
        <f t="shared" si="20"/>
        <v>0</v>
      </c>
      <c r="S117" s="3"/>
      <c r="T117" s="3">
        <v>300.39999999999998</v>
      </c>
      <c r="U117" s="3"/>
      <c r="V117" s="22">
        <f t="shared" si="21"/>
        <v>6.2989068230433882E-4</v>
      </c>
      <c r="W117" s="3"/>
      <c r="X117" s="3">
        <f t="shared" si="22"/>
        <v>-300.39999999999998</v>
      </c>
      <c r="Y117" s="3"/>
      <c r="Z117" s="22">
        <f t="shared" si="23"/>
        <v>-1</v>
      </c>
    </row>
    <row r="118" spans="1:26" s="24" customFormat="1" hidden="1" outlineLevel="1" x14ac:dyDescent="0.3">
      <c r="A118" s="50"/>
      <c r="B118" s="12" t="str">
        <f>CONCATENATE("          ", "5583", " - ", "FREIGHT-IN-COMPUTER EQUIPMENT")</f>
        <v xml:space="preserve">          5583 - FREIGHT-IN-COMPUTER EQUIPMENT</v>
      </c>
      <c r="C118" s="12"/>
      <c r="D118" s="3">
        <v>0</v>
      </c>
      <c r="E118" s="3"/>
      <c r="F118" s="22">
        <f t="shared" si="16"/>
        <v>0</v>
      </c>
      <c r="G118" s="3"/>
      <c r="H118" s="3">
        <v>17.39</v>
      </c>
      <c r="I118" s="3"/>
      <c r="J118" s="22">
        <f t="shared" si="17"/>
        <v>3.6464044491586063E-5</v>
      </c>
      <c r="K118" s="3"/>
      <c r="L118" s="3">
        <f t="shared" si="18"/>
        <v>-17.39</v>
      </c>
      <c r="M118" s="3"/>
      <c r="N118" s="22">
        <f t="shared" si="19"/>
        <v>-1</v>
      </c>
      <c r="O118" s="12"/>
      <c r="P118" s="3">
        <v>0</v>
      </c>
      <c r="Q118" s="3"/>
      <c r="R118" s="22">
        <f t="shared" si="20"/>
        <v>0</v>
      </c>
      <c r="S118" s="3"/>
      <c r="T118" s="3">
        <v>17.39</v>
      </c>
      <c r="U118" s="3"/>
      <c r="V118" s="22">
        <f t="shared" si="21"/>
        <v>3.6464044491586063E-5</v>
      </c>
      <c r="W118" s="3"/>
      <c r="X118" s="3">
        <f t="shared" si="22"/>
        <v>-17.39</v>
      </c>
      <c r="Y118" s="3"/>
      <c r="Z118" s="22">
        <f t="shared" si="23"/>
        <v>-1</v>
      </c>
    </row>
    <row r="119" spans="1:26" s="24" customFormat="1" hidden="1" outlineLevel="1" x14ac:dyDescent="0.3">
      <c r="A119" s="50"/>
      <c r="B119" s="12" t="str">
        <f>CONCATENATE("          ", "5592", " - ", "FREIGHT-IN-GRAD MERCH")</f>
        <v xml:space="preserve">          5592 - FREIGHT-IN-GRAD MERCH</v>
      </c>
      <c r="C119" s="12"/>
      <c r="D119" s="3"/>
      <c r="E119" s="3"/>
      <c r="F119" s="22">
        <f t="shared" si="16"/>
        <v>0</v>
      </c>
      <c r="G119" s="3"/>
      <c r="H119" s="3">
        <v>0</v>
      </c>
      <c r="I119" s="3"/>
      <c r="J119" s="22">
        <f t="shared" si="17"/>
        <v>0</v>
      </c>
      <c r="K119" s="3"/>
      <c r="L119" s="3">
        <f t="shared" si="18"/>
        <v>0</v>
      </c>
      <c r="M119" s="3"/>
      <c r="N119" s="22">
        <f t="shared" si="19"/>
        <v>0</v>
      </c>
      <c r="O119" s="12"/>
      <c r="P119" s="3"/>
      <c r="Q119" s="3"/>
      <c r="R119" s="22">
        <f t="shared" si="20"/>
        <v>0</v>
      </c>
      <c r="S119" s="3"/>
      <c r="T119" s="3">
        <v>0</v>
      </c>
      <c r="U119" s="3"/>
      <c r="V119" s="22">
        <f t="shared" si="21"/>
        <v>0</v>
      </c>
      <c r="W119" s="3"/>
      <c r="X119" s="3">
        <f t="shared" si="22"/>
        <v>0</v>
      </c>
      <c r="Y119" s="3"/>
      <c r="Z119" s="22">
        <f t="shared" si="23"/>
        <v>0</v>
      </c>
    </row>
    <row r="120" spans="1:26" x14ac:dyDescent="0.3">
      <c r="A120" s="9"/>
      <c r="B120" s="10"/>
      <c r="C120" s="10"/>
      <c r="D120" s="2"/>
      <c r="E120" s="2"/>
      <c r="F120" s="6"/>
      <c r="G120" s="2"/>
      <c r="H120" s="2"/>
      <c r="I120" s="2"/>
      <c r="J120" s="6"/>
      <c r="K120" s="2"/>
      <c r="L120" s="2"/>
      <c r="M120" s="2"/>
      <c r="N120" s="6"/>
      <c r="O120" s="10"/>
      <c r="P120" s="2"/>
      <c r="Q120" s="2"/>
      <c r="R120" s="6"/>
      <c r="S120" s="2"/>
      <c r="T120" s="2"/>
      <c r="U120" s="2"/>
      <c r="V120" s="6"/>
      <c r="W120" s="2"/>
      <c r="X120" s="2"/>
      <c r="Y120" s="2"/>
      <c r="Z120" s="6"/>
    </row>
    <row r="121" spans="1:26" s="23" customFormat="1" x14ac:dyDescent="0.3">
      <c r="A121" s="10"/>
      <c r="B121" s="26" t="s">
        <v>107</v>
      </c>
      <c r="C121" s="26"/>
      <c r="D121" s="20">
        <f>D12-D83</f>
        <v>272168.04999999987</v>
      </c>
      <c r="E121" s="13"/>
      <c r="F121" s="21">
        <f>IF(D$12=0,0,D121/D$12)</f>
        <v>0.53985617907778782</v>
      </c>
      <c r="G121" s="13"/>
      <c r="H121" s="20">
        <f>H12-H83</f>
        <v>140094.12999999989</v>
      </c>
      <c r="I121" s="13"/>
      <c r="J121" s="21">
        <f>IF(H$12=0,0,H121/H$12)</f>
        <v>0.29375495050776523</v>
      </c>
      <c r="K121" s="16"/>
      <c r="L121" s="20">
        <f>+D121-H121</f>
        <v>132073.91999999998</v>
      </c>
      <c r="M121" s="16"/>
      <c r="N121" s="21">
        <f>IF(H121=0,0,L121/H121)</f>
        <v>0.94275127730191188</v>
      </c>
      <c r="O121" s="25"/>
      <c r="P121" s="20">
        <f>P12-P83</f>
        <v>272168.04999999987</v>
      </c>
      <c r="Q121" s="13"/>
      <c r="R121" s="21">
        <f>IF(P$12=0,0,P121/P$12)</f>
        <v>0.53985617907778782</v>
      </c>
      <c r="S121" s="13"/>
      <c r="T121" s="20">
        <f>T12-T83</f>
        <v>140094.12999999989</v>
      </c>
      <c r="U121" s="13"/>
      <c r="V121" s="21">
        <f>IF(T$12=0,0,T121/T$12)</f>
        <v>0.29375495050776523</v>
      </c>
      <c r="W121" s="16"/>
      <c r="X121" s="20">
        <f>+P121-T121</f>
        <v>132073.91999999998</v>
      </c>
      <c r="Y121" s="16"/>
      <c r="Z121" s="21">
        <f>IF(T121=0,0,X121/T121)</f>
        <v>0.94275127730191188</v>
      </c>
    </row>
    <row r="122" spans="1:26" x14ac:dyDescent="0.3">
      <c r="A122" s="9"/>
      <c r="B122" s="10"/>
      <c r="C122" s="9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3">
      <c r="A123" s="10"/>
      <c r="B123" s="25" t="s">
        <v>294</v>
      </c>
      <c r="C123" s="10"/>
      <c r="D123" s="19">
        <f>SUM(OSRRefD22x_0)</f>
        <v>878488.93999999971</v>
      </c>
      <c r="E123" s="19"/>
      <c r="F123" s="35">
        <f t="shared" ref="F123:F134" si="24">IF(D$12=0,0,D123/D$12)</f>
        <v>1.742517839660078</v>
      </c>
      <c r="G123" s="19"/>
      <c r="H123" s="19">
        <f>SUM(OSRRefH22x_0)</f>
        <v>699886.54999999993</v>
      </c>
      <c r="I123" s="19"/>
      <c r="J123" s="35">
        <f t="shared" ref="J123:J134" si="25">IF(H$12=0,0,H123/H$12)</f>
        <v>1.4675499883992336</v>
      </c>
      <c r="K123" s="4"/>
      <c r="L123" s="19">
        <f t="shared" ref="L123:L134" si="26">+D123-H123</f>
        <v>178602.38999999978</v>
      </c>
      <c r="M123" s="4"/>
      <c r="N123" s="35">
        <f t="shared" ref="N123:N134" si="27">IF(H123=0,0,L123/H123)</f>
        <v>0.25518763005232747</v>
      </c>
      <c r="O123" s="10"/>
      <c r="P123" s="19">
        <f>SUM(OSRRefP22x_0)</f>
        <v>878488.93999999971</v>
      </c>
      <c r="Q123" s="19"/>
      <c r="R123" s="35">
        <f t="shared" ref="R123:R134" si="28">IF(P$12=0,0,P123/P$12)</f>
        <v>1.742517839660078</v>
      </c>
      <c r="S123" s="19"/>
      <c r="T123" s="19">
        <f>SUM(OSRRefT22x_0)</f>
        <v>699886.54999999993</v>
      </c>
      <c r="U123" s="19"/>
      <c r="V123" s="35">
        <f t="shared" ref="V123:V134" si="29">IF(T$12=0,0,T123/T$12)</f>
        <v>1.4675499883992336</v>
      </c>
      <c r="W123" s="4"/>
      <c r="X123" s="19">
        <f t="shared" ref="X123:X134" si="30">+P123-T123</f>
        <v>178602.38999999978</v>
      </c>
      <c r="Y123" s="4"/>
      <c r="Z123" s="35">
        <f t="shared" ref="Z123:Z134" si="31">IF(T123=0,0,X123/T123)</f>
        <v>0.25518763005232747</v>
      </c>
    </row>
    <row r="124" spans="1:26" s="29" customFormat="1" outlineLevel="1" collapsed="1" x14ac:dyDescent="0.3">
      <c r="A124" s="28"/>
      <c r="B124" s="14" t="str">
        <f>CONCATENATE("     ","*Benefits                                         ")</f>
        <v xml:space="preserve">     *Benefits                                         </v>
      </c>
      <c r="C124" s="14"/>
      <c r="D124" s="1">
        <f>SUM(OSRRefD22_0x_0)</f>
        <v>146522.37</v>
      </c>
      <c r="E124" s="1"/>
      <c r="F124" s="5">
        <f t="shared" si="24"/>
        <v>0.2906329630447877</v>
      </c>
      <c r="G124" s="1"/>
      <c r="H124" s="1">
        <f>SUM(OSRRefH22_0x_0)</f>
        <v>154113.13999999998</v>
      </c>
      <c r="I124" s="1"/>
      <c r="J124" s="5">
        <f t="shared" si="25"/>
        <v>0.32315056893030658</v>
      </c>
      <c r="K124" s="1"/>
      <c r="L124" s="1">
        <f t="shared" si="26"/>
        <v>-7590.7699999999895</v>
      </c>
      <c r="M124" s="1"/>
      <c r="N124" s="5">
        <f t="shared" si="27"/>
        <v>-4.9254528199217731E-2</v>
      </c>
      <c r="O124" s="14"/>
      <c r="P124" s="1">
        <f>SUM(OSRRefP22_0x_0)</f>
        <v>146522.37</v>
      </c>
      <c r="Q124" s="1"/>
      <c r="R124" s="5">
        <f t="shared" si="28"/>
        <v>0.2906329630447877</v>
      </c>
      <c r="S124" s="1"/>
      <c r="T124" s="1">
        <f>SUM(OSRRefT22_0x_0)</f>
        <v>154113.13999999998</v>
      </c>
      <c r="U124" s="1"/>
      <c r="V124" s="5">
        <f t="shared" si="29"/>
        <v>0.32315056893030658</v>
      </c>
      <c r="W124" s="1"/>
      <c r="X124" s="1">
        <f t="shared" si="30"/>
        <v>-7590.7699999999895</v>
      </c>
      <c r="Y124" s="1"/>
      <c r="Z124" s="5">
        <f t="shared" si="31"/>
        <v>-4.9254528199217731E-2</v>
      </c>
    </row>
    <row r="125" spans="1:26" s="24" customFormat="1" hidden="1" outlineLevel="2" x14ac:dyDescent="0.3">
      <c r="A125" s="27"/>
      <c r="B125" s="12" t="str">
        <f>CONCATENATE("          ", "6111", " - ", "F.I.C.A.")</f>
        <v xml:space="preserve">          6111 - F.I.C.A.</v>
      </c>
      <c r="C125" s="12"/>
      <c r="D125" s="8">
        <v>21298.06</v>
      </c>
      <c r="E125" s="3"/>
      <c r="F125" s="7">
        <f t="shared" si="24"/>
        <v>4.224555120768024E-2</v>
      </c>
      <c r="G125" s="3"/>
      <c r="H125" s="8">
        <v>18869.66</v>
      </c>
      <c r="I125" s="3"/>
      <c r="J125" s="7">
        <f t="shared" si="25"/>
        <v>3.9566654501500965E-2</v>
      </c>
      <c r="K125" s="3"/>
      <c r="L125" s="8">
        <f t="shared" si="26"/>
        <v>2428.4000000000015</v>
      </c>
      <c r="M125" s="3"/>
      <c r="N125" s="7">
        <f t="shared" si="27"/>
        <v>0.12869336278449117</v>
      </c>
      <c r="O125" s="12"/>
      <c r="P125" s="8">
        <v>21298.06</v>
      </c>
      <c r="Q125" s="3"/>
      <c r="R125" s="7">
        <f t="shared" si="28"/>
        <v>4.224555120768024E-2</v>
      </c>
      <c r="S125" s="3"/>
      <c r="T125" s="8">
        <v>18869.66</v>
      </c>
      <c r="U125" s="3"/>
      <c r="V125" s="7">
        <f t="shared" si="29"/>
        <v>3.9566654501500965E-2</v>
      </c>
      <c r="W125" s="3"/>
      <c r="X125" s="8">
        <f t="shared" si="30"/>
        <v>2428.4000000000015</v>
      </c>
      <c r="Y125" s="3"/>
      <c r="Z125" s="7">
        <f t="shared" si="31"/>
        <v>0.12869336278449117</v>
      </c>
    </row>
    <row r="126" spans="1:26" s="24" customFormat="1" hidden="1" outlineLevel="2" x14ac:dyDescent="0.3">
      <c r="A126" s="27"/>
      <c r="B126" s="12" t="str">
        <f>CONCATENATE("          ", "6112", " - ", "COMPENSATION INSURANCE")</f>
        <v xml:space="preserve">          6112 - COMPENSATION INSURANCE</v>
      </c>
      <c r="C126" s="12"/>
      <c r="D126" s="8">
        <v>6528.35</v>
      </c>
      <c r="E126" s="3"/>
      <c r="F126" s="7">
        <f t="shared" si="24"/>
        <v>1.2949242523810118E-2</v>
      </c>
      <c r="G126" s="3"/>
      <c r="H126" s="8">
        <v>6219.84</v>
      </c>
      <c r="I126" s="3"/>
      <c r="J126" s="7">
        <f t="shared" si="25"/>
        <v>1.3042008193820969E-2</v>
      </c>
      <c r="K126" s="3"/>
      <c r="L126" s="8">
        <f t="shared" si="26"/>
        <v>308.51000000000022</v>
      </c>
      <c r="M126" s="3"/>
      <c r="N126" s="7">
        <f t="shared" si="27"/>
        <v>4.9600954365385641E-2</v>
      </c>
      <c r="O126" s="12"/>
      <c r="P126" s="8">
        <v>6528.35</v>
      </c>
      <c r="Q126" s="3"/>
      <c r="R126" s="7">
        <f t="shared" si="28"/>
        <v>1.2949242523810118E-2</v>
      </c>
      <c r="S126" s="3"/>
      <c r="T126" s="8">
        <v>6219.84</v>
      </c>
      <c r="U126" s="3"/>
      <c r="V126" s="7">
        <f t="shared" si="29"/>
        <v>1.3042008193820969E-2</v>
      </c>
      <c r="W126" s="3"/>
      <c r="X126" s="8">
        <f t="shared" si="30"/>
        <v>308.51000000000022</v>
      </c>
      <c r="Y126" s="3"/>
      <c r="Z126" s="7">
        <f t="shared" si="31"/>
        <v>4.9600954365385641E-2</v>
      </c>
    </row>
    <row r="127" spans="1:26" s="24" customFormat="1" hidden="1" outlineLevel="2" x14ac:dyDescent="0.3">
      <c r="A127" s="27"/>
      <c r="B127" s="12" t="str">
        <f>CONCATENATE("          ", "6113", " - ", "GROUP INSURANCE")</f>
        <v xml:space="preserve">          6113 - GROUP INSURANCE</v>
      </c>
      <c r="C127" s="12"/>
      <c r="D127" s="8">
        <v>72477.48</v>
      </c>
      <c r="E127" s="3"/>
      <c r="F127" s="7">
        <f t="shared" si="24"/>
        <v>0.14376197140695537</v>
      </c>
      <c r="G127" s="3"/>
      <c r="H127" s="8">
        <v>75665</v>
      </c>
      <c r="I127" s="3"/>
      <c r="J127" s="7">
        <f t="shared" si="25"/>
        <v>0.15865738507509256</v>
      </c>
      <c r="K127" s="3"/>
      <c r="L127" s="8">
        <f t="shared" si="26"/>
        <v>-3187.5200000000041</v>
      </c>
      <c r="M127" s="3"/>
      <c r="N127" s="7">
        <f t="shared" si="27"/>
        <v>-4.2126742879799166E-2</v>
      </c>
      <c r="O127" s="12"/>
      <c r="P127" s="8">
        <v>72477.48</v>
      </c>
      <c r="Q127" s="3"/>
      <c r="R127" s="7">
        <f t="shared" si="28"/>
        <v>0.14376197140695537</v>
      </c>
      <c r="S127" s="3"/>
      <c r="T127" s="8">
        <v>75665</v>
      </c>
      <c r="U127" s="3"/>
      <c r="V127" s="7">
        <f t="shared" si="29"/>
        <v>0.15865738507509256</v>
      </c>
      <c r="W127" s="3"/>
      <c r="X127" s="8">
        <f t="shared" si="30"/>
        <v>-3187.5200000000041</v>
      </c>
      <c r="Y127" s="3"/>
      <c r="Z127" s="7">
        <f t="shared" si="31"/>
        <v>-4.2126742879799166E-2</v>
      </c>
    </row>
    <row r="128" spans="1:26" s="24" customFormat="1" hidden="1" outlineLevel="2" x14ac:dyDescent="0.3">
      <c r="A128" s="27"/>
      <c r="B128" s="12" t="str">
        <f>CONCATENATE("          ", "6114", " - ", "STATE UNEMPLOYMENT INSURANCE")</f>
        <v xml:space="preserve">          6114 - STATE UNEMPLOYMENT INSURANCE</v>
      </c>
      <c r="C128" s="12"/>
      <c r="D128" s="8">
        <v>753.55</v>
      </c>
      <c r="E128" s="3"/>
      <c r="F128" s="7">
        <f t="shared" si="24"/>
        <v>1.4946964705962629E-3</v>
      </c>
      <c r="G128" s="3"/>
      <c r="H128" s="8">
        <v>722.18</v>
      </c>
      <c r="I128" s="3"/>
      <c r="J128" s="7">
        <f t="shared" si="25"/>
        <v>1.5142957821123416E-3</v>
      </c>
      <c r="K128" s="3"/>
      <c r="L128" s="8">
        <f t="shared" si="26"/>
        <v>31.370000000000005</v>
      </c>
      <c r="M128" s="3"/>
      <c r="N128" s="7">
        <f t="shared" si="27"/>
        <v>4.343792406325294E-2</v>
      </c>
      <c r="O128" s="12"/>
      <c r="P128" s="8">
        <v>753.55</v>
      </c>
      <c r="Q128" s="3"/>
      <c r="R128" s="7">
        <f t="shared" si="28"/>
        <v>1.4946964705962629E-3</v>
      </c>
      <c r="S128" s="3"/>
      <c r="T128" s="8">
        <v>722.18</v>
      </c>
      <c r="U128" s="3"/>
      <c r="V128" s="7">
        <f t="shared" si="29"/>
        <v>1.5142957821123416E-3</v>
      </c>
      <c r="W128" s="3"/>
      <c r="X128" s="8">
        <f t="shared" si="30"/>
        <v>31.370000000000005</v>
      </c>
      <c r="Y128" s="3"/>
      <c r="Z128" s="7">
        <f t="shared" si="31"/>
        <v>4.343792406325294E-2</v>
      </c>
    </row>
    <row r="129" spans="1:26" s="24" customFormat="1" hidden="1" outlineLevel="2" x14ac:dyDescent="0.3">
      <c r="A129" s="27"/>
      <c r="B129" s="12" t="str">
        <f>CONCATENATE("          ", "6115", " - ", "P.E.R.S.")</f>
        <v xml:space="preserve">          6115 - P.E.R.S.</v>
      </c>
      <c r="C129" s="12"/>
      <c r="D129" s="8">
        <v>13543.27</v>
      </c>
      <c r="E129" s="3"/>
      <c r="F129" s="7">
        <f t="shared" si="24"/>
        <v>2.6863616043171987E-2</v>
      </c>
      <c r="G129" s="3"/>
      <c r="H129" s="8">
        <v>21251.45</v>
      </c>
      <c r="I129" s="3"/>
      <c r="J129" s="7">
        <f t="shared" si="25"/>
        <v>4.4560886619362659E-2</v>
      </c>
      <c r="K129" s="3"/>
      <c r="L129" s="8">
        <f t="shared" si="26"/>
        <v>-7708.18</v>
      </c>
      <c r="M129" s="3"/>
      <c r="N129" s="7">
        <f t="shared" si="27"/>
        <v>-0.36271313251566362</v>
      </c>
      <c r="O129" s="12"/>
      <c r="P129" s="8">
        <v>13543.27</v>
      </c>
      <c r="Q129" s="3"/>
      <c r="R129" s="7">
        <f t="shared" si="28"/>
        <v>2.6863616043171987E-2</v>
      </c>
      <c r="S129" s="3"/>
      <c r="T129" s="8">
        <v>21251.45</v>
      </c>
      <c r="U129" s="3"/>
      <c r="V129" s="7">
        <f t="shared" si="29"/>
        <v>4.4560886619362659E-2</v>
      </c>
      <c r="W129" s="3"/>
      <c r="X129" s="8">
        <f t="shared" si="30"/>
        <v>-7708.18</v>
      </c>
      <c r="Y129" s="3"/>
      <c r="Z129" s="7">
        <f t="shared" si="31"/>
        <v>-0.36271313251566362</v>
      </c>
    </row>
    <row r="130" spans="1:26" s="24" customFormat="1" hidden="1" outlineLevel="2" x14ac:dyDescent="0.3">
      <c r="A130" s="27"/>
      <c r="B130" s="12" t="str">
        <f>CONCATENATE("          ", "6116", " - ", "EDUCATIONAL BENEFITS")</f>
        <v xml:space="preserve">          6116 - EDUCATIONAL BENEFITS</v>
      </c>
      <c r="C130" s="12"/>
      <c r="D130" s="8"/>
      <c r="E130" s="3"/>
      <c r="F130" s="7">
        <f t="shared" si="24"/>
        <v>0</v>
      </c>
      <c r="G130" s="3"/>
      <c r="H130" s="8">
        <v>0</v>
      </c>
      <c r="I130" s="3"/>
      <c r="J130" s="7">
        <f t="shared" si="25"/>
        <v>0</v>
      </c>
      <c r="K130" s="3"/>
      <c r="L130" s="8">
        <f t="shared" si="26"/>
        <v>0</v>
      </c>
      <c r="M130" s="3"/>
      <c r="N130" s="7">
        <f t="shared" si="27"/>
        <v>0</v>
      </c>
      <c r="O130" s="12"/>
      <c r="P130" s="8"/>
      <c r="Q130" s="3"/>
      <c r="R130" s="7">
        <f t="shared" si="28"/>
        <v>0</v>
      </c>
      <c r="S130" s="3"/>
      <c r="T130" s="8">
        <v>0</v>
      </c>
      <c r="U130" s="3"/>
      <c r="V130" s="7">
        <f t="shared" si="29"/>
        <v>0</v>
      </c>
      <c r="W130" s="3"/>
      <c r="X130" s="8">
        <f t="shared" si="30"/>
        <v>0</v>
      </c>
      <c r="Y130" s="3"/>
      <c r="Z130" s="7">
        <f t="shared" si="31"/>
        <v>0</v>
      </c>
    </row>
    <row r="131" spans="1:26" s="24" customFormat="1" hidden="1" outlineLevel="2" x14ac:dyDescent="0.3">
      <c r="A131" s="27"/>
      <c r="B131" s="12" t="str">
        <f>CONCATENATE("          ", "6117", " - ", "RETIREMENT STAFF HOURLY")</f>
        <v xml:space="preserve">          6117 - RETIREMENT STAFF HOURLY</v>
      </c>
      <c r="C131" s="12"/>
      <c r="D131" s="8">
        <v>2099.73</v>
      </c>
      <c r="E131" s="3"/>
      <c r="F131" s="7">
        <f t="shared" si="24"/>
        <v>4.1648981755757304E-3</v>
      </c>
      <c r="G131" s="3"/>
      <c r="H131" s="8">
        <v>2649.82</v>
      </c>
      <c r="I131" s="3"/>
      <c r="J131" s="7">
        <f t="shared" si="25"/>
        <v>5.5562480951520752E-3</v>
      </c>
      <c r="K131" s="3"/>
      <c r="L131" s="8">
        <f t="shared" si="26"/>
        <v>-550.09000000000015</v>
      </c>
      <c r="M131" s="3"/>
      <c r="N131" s="7">
        <f t="shared" si="27"/>
        <v>-0.2075952328837431</v>
      </c>
      <c r="O131" s="12"/>
      <c r="P131" s="8">
        <v>2099.73</v>
      </c>
      <c r="Q131" s="3"/>
      <c r="R131" s="7">
        <f t="shared" si="28"/>
        <v>4.1648981755757304E-3</v>
      </c>
      <c r="S131" s="3"/>
      <c r="T131" s="8">
        <v>2649.82</v>
      </c>
      <c r="U131" s="3"/>
      <c r="V131" s="7">
        <f t="shared" si="29"/>
        <v>5.5562480951520752E-3</v>
      </c>
      <c r="W131" s="3"/>
      <c r="X131" s="8">
        <f t="shared" si="30"/>
        <v>-550.09000000000015</v>
      </c>
      <c r="Y131" s="3"/>
      <c r="Z131" s="7">
        <f t="shared" si="31"/>
        <v>-0.2075952328837431</v>
      </c>
    </row>
    <row r="132" spans="1:26" s="24" customFormat="1" hidden="1" outlineLevel="2" x14ac:dyDescent="0.3">
      <c r="A132" s="27"/>
      <c r="B132" s="12" t="str">
        <f>CONCATENATE("          ", "6118", " - ", "VACATION")</f>
        <v xml:space="preserve">          6118 - VACATION</v>
      </c>
      <c r="C132" s="12"/>
      <c r="D132" s="8">
        <v>14867.33</v>
      </c>
      <c r="E132" s="3"/>
      <c r="F132" s="7">
        <f t="shared" si="24"/>
        <v>2.9489941846181325E-2</v>
      </c>
      <c r="G132" s="3"/>
      <c r="H132" s="8">
        <v>14322.85</v>
      </c>
      <c r="I132" s="3"/>
      <c r="J132" s="7">
        <f t="shared" si="25"/>
        <v>3.003272223383056E-2</v>
      </c>
      <c r="K132" s="3"/>
      <c r="L132" s="8">
        <f t="shared" si="26"/>
        <v>544.47999999999956</v>
      </c>
      <c r="M132" s="3"/>
      <c r="N132" s="7">
        <f t="shared" si="27"/>
        <v>3.801478057788775E-2</v>
      </c>
      <c r="O132" s="12"/>
      <c r="P132" s="8">
        <v>14867.33</v>
      </c>
      <c r="Q132" s="3"/>
      <c r="R132" s="7">
        <f t="shared" si="28"/>
        <v>2.9489941846181325E-2</v>
      </c>
      <c r="S132" s="3"/>
      <c r="T132" s="8">
        <v>14322.85</v>
      </c>
      <c r="U132" s="3"/>
      <c r="V132" s="7">
        <f t="shared" si="29"/>
        <v>3.003272223383056E-2</v>
      </c>
      <c r="W132" s="3"/>
      <c r="X132" s="8">
        <f t="shared" si="30"/>
        <v>544.47999999999956</v>
      </c>
      <c r="Y132" s="3"/>
      <c r="Z132" s="7">
        <f t="shared" si="31"/>
        <v>3.801478057788775E-2</v>
      </c>
    </row>
    <row r="133" spans="1:26" s="24" customFormat="1" hidden="1" outlineLevel="2" x14ac:dyDescent="0.3">
      <c r="A133" s="27"/>
      <c r="B133" s="12" t="str">
        <f>CONCATENATE("          ", "6119", " - ", "SICK LEAVE")</f>
        <v xml:space="preserve">          6119 - SICK LEAVE</v>
      </c>
      <c r="C133" s="12"/>
      <c r="D133" s="8">
        <v>10081.73</v>
      </c>
      <c r="E133" s="3"/>
      <c r="F133" s="7">
        <f t="shared" si="24"/>
        <v>1.9997513434416379E-2</v>
      </c>
      <c r="G133" s="3"/>
      <c r="H133" s="8">
        <v>10199.56</v>
      </c>
      <c r="I133" s="3"/>
      <c r="J133" s="7">
        <f t="shared" si="25"/>
        <v>2.1386843567257133E-2</v>
      </c>
      <c r="K133" s="3"/>
      <c r="L133" s="8">
        <f t="shared" si="26"/>
        <v>-117.82999999999993</v>
      </c>
      <c r="M133" s="3"/>
      <c r="N133" s="7">
        <f t="shared" si="27"/>
        <v>-1.1552459125687769E-2</v>
      </c>
      <c r="O133" s="12"/>
      <c r="P133" s="8">
        <v>10081.73</v>
      </c>
      <c r="Q133" s="3"/>
      <c r="R133" s="7">
        <f t="shared" si="28"/>
        <v>1.9997513434416379E-2</v>
      </c>
      <c r="S133" s="3"/>
      <c r="T133" s="8">
        <v>10199.56</v>
      </c>
      <c r="U133" s="3"/>
      <c r="V133" s="7">
        <f t="shared" si="29"/>
        <v>2.1386843567257133E-2</v>
      </c>
      <c r="W133" s="3"/>
      <c r="X133" s="8">
        <f t="shared" si="30"/>
        <v>-117.82999999999993</v>
      </c>
      <c r="Y133" s="3"/>
      <c r="Z133" s="7">
        <f t="shared" si="31"/>
        <v>-1.1552459125687769E-2</v>
      </c>
    </row>
    <row r="134" spans="1:26" s="24" customFormat="1" hidden="1" outlineLevel="2" x14ac:dyDescent="0.3">
      <c r="A134" s="27"/>
      <c r="B134" s="12" t="str">
        <f>CONCATENATE("          ", "6156", " - ", "EMPLOYEE MEALS")</f>
        <v xml:space="preserve">          6156 - EMPLOYEE MEALS</v>
      </c>
      <c r="C134" s="12"/>
      <c r="D134" s="8">
        <v>4872.87</v>
      </c>
      <c r="E134" s="3"/>
      <c r="F134" s="7">
        <f t="shared" si="24"/>
        <v>9.665531936400254E-3</v>
      </c>
      <c r="G134" s="3"/>
      <c r="H134" s="8">
        <v>4212.78</v>
      </c>
      <c r="I134" s="3"/>
      <c r="J134" s="7">
        <f t="shared" si="25"/>
        <v>8.8335248621773388E-3</v>
      </c>
      <c r="K134" s="3"/>
      <c r="L134" s="8">
        <f t="shared" si="26"/>
        <v>660.09000000000015</v>
      </c>
      <c r="M134" s="3"/>
      <c r="N134" s="7">
        <f t="shared" si="27"/>
        <v>0.15668750801133696</v>
      </c>
      <c r="O134" s="12"/>
      <c r="P134" s="8">
        <v>4872.87</v>
      </c>
      <c r="Q134" s="3"/>
      <c r="R134" s="7">
        <f t="shared" si="28"/>
        <v>9.665531936400254E-3</v>
      </c>
      <c r="S134" s="3"/>
      <c r="T134" s="8">
        <v>4212.78</v>
      </c>
      <c r="U134" s="3"/>
      <c r="V134" s="7">
        <f t="shared" si="29"/>
        <v>8.8335248621773388E-3</v>
      </c>
      <c r="W134" s="3"/>
      <c r="X134" s="8">
        <f t="shared" si="30"/>
        <v>660.09000000000015</v>
      </c>
      <c r="Y134" s="3"/>
      <c r="Z134" s="7">
        <f t="shared" si="31"/>
        <v>0.15668750801133696</v>
      </c>
    </row>
    <row r="135" spans="1:26" s="29" customFormat="1" outlineLevel="1" collapsed="1" x14ac:dyDescent="0.3">
      <c r="A135" s="28"/>
      <c r="B135" s="14" t="str">
        <f>CONCATENATE("     ","*Payroll                                          ")</f>
        <v xml:space="preserve">     *Payroll                                          </v>
      </c>
      <c r="C135" s="14"/>
      <c r="D135" s="1">
        <f>SUM(OSRRefD22_1x_0)</f>
        <v>348552.56</v>
      </c>
      <c r="E135" s="1"/>
      <c r="F135" s="5">
        <f t="shared" ref="F135:F142" si="32">IF(D$12=0,0,D135/D$12)</f>
        <v>0.69136790027110639</v>
      </c>
      <c r="G135" s="1"/>
      <c r="H135" s="1">
        <f>SUM(OSRRefH22_1x_0)</f>
        <v>277403.17000000004</v>
      </c>
      <c r="I135" s="1"/>
      <c r="J135" s="5">
        <f t="shared" ref="J135:J142" si="33">IF(H$12=0,0,H135/H$12)</f>
        <v>0.58167001339775815</v>
      </c>
      <c r="K135" s="1"/>
      <c r="L135" s="1">
        <f t="shared" ref="L135:L142" si="34">+D135-H135</f>
        <v>71149.389999999956</v>
      </c>
      <c r="M135" s="1"/>
      <c r="N135" s="5">
        <f t="shared" ref="N135:N142" si="35">IF(H135=0,0,L135/H135)</f>
        <v>0.25648369483304734</v>
      </c>
      <c r="O135" s="14"/>
      <c r="P135" s="1">
        <f>SUM(OSRRefP22_1x_0)</f>
        <v>348552.56</v>
      </c>
      <c r="Q135" s="1"/>
      <c r="R135" s="5">
        <f t="shared" ref="R135:R142" si="36">IF(P$12=0,0,P135/P$12)</f>
        <v>0.69136790027110639</v>
      </c>
      <c r="S135" s="1"/>
      <c r="T135" s="1">
        <f>SUM(OSRRefT22_1x_0)</f>
        <v>277403.17000000004</v>
      </c>
      <c r="U135" s="1"/>
      <c r="V135" s="5">
        <f t="shared" ref="V135:V142" si="37">IF(T$12=0,0,T135/T$12)</f>
        <v>0.58167001339775815</v>
      </c>
      <c r="W135" s="1"/>
      <c r="X135" s="1">
        <f t="shared" ref="X135:X142" si="38">+P135-T135</f>
        <v>71149.389999999956</v>
      </c>
      <c r="Y135" s="1"/>
      <c r="Z135" s="5">
        <f t="shared" ref="Z135:Z142" si="39">IF(T135=0,0,X135/T135)</f>
        <v>0.25648369483304734</v>
      </c>
    </row>
    <row r="136" spans="1:26" s="24" customFormat="1" hidden="1" outlineLevel="2" x14ac:dyDescent="0.3">
      <c r="A136" s="27"/>
      <c r="B136" s="12" t="str">
        <f>CONCATENATE("          ", "6001", " - ", "ADMINISTRATIVE SALARIES")</f>
        <v xml:space="preserve">          6001 - ADMINISTRATIVE SALARIES</v>
      </c>
      <c r="C136" s="12"/>
      <c r="D136" s="8">
        <v>36234.019999999997</v>
      </c>
      <c r="E136" s="3"/>
      <c r="F136" s="7">
        <f t="shared" si="32"/>
        <v>7.1871623395281539E-2</v>
      </c>
      <c r="G136" s="3"/>
      <c r="H136" s="8">
        <v>32190.44</v>
      </c>
      <c r="I136" s="3"/>
      <c r="J136" s="7">
        <f t="shared" si="33"/>
        <v>6.7498196455648737E-2</v>
      </c>
      <c r="K136" s="3"/>
      <c r="L136" s="8">
        <f t="shared" si="34"/>
        <v>4043.5799999999981</v>
      </c>
      <c r="M136" s="3"/>
      <c r="N136" s="7">
        <f t="shared" si="35"/>
        <v>0.12561431282082502</v>
      </c>
      <c r="O136" s="12"/>
      <c r="P136" s="8">
        <v>36234.019999999997</v>
      </c>
      <c r="Q136" s="3"/>
      <c r="R136" s="7">
        <f t="shared" si="36"/>
        <v>7.1871623395281539E-2</v>
      </c>
      <c r="S136" s="3"/>
      <c r="T136" s="8">
        <v>32190.44</v>
      </c>
      <c r="U136" s="3"/>
      <c r="V136" s="7">
        <f t="shared" si="37"/>
        <v>6.7498196455648737E-2</v>
      </c>
      <c r="W136" s="3"/>
      <c r="X136" s="8">
        <f t="shared" si="38"/>
        <v>4043.5799999999981</v>
      </c>
      <c r="Y136" s="3"/>
      <c r="Z136" s="7">
        <f t="shared" si="39"/>
        <v>0.12561431282082502</v>
      </c>
    </row>
    <row r="137" spans="1:26" s="24" customFormat="1" hidden="1" outlineLevel="2" x14ac:dyDescent="0.3">
      <c r="A137" s="27"/>
      <c r="B137" s="12" t="str">
        <f>CONCATENATE("          ", "6002", " - ", "STAFF SALARIES")</f>
        <v xml:space="preserve">          6002 - STAFF SALARIES</v>
      </c>
      <c r="C137" s="12"/>
      <c r="D137" s="8">
        <v>137611.74</v>
      </c>
      <c r="E137" s="3"/>
      <c r="F137" s="7">
        <f t="shared" si="32"/>
        <v>0.27295837315454924</v>
      </c>
      <c r="G137" s="3"/>
      <c r="H137" s="8">
        <v>135928.07</v>
      </c>
      <c r="I137" s="3"/>
      <c r="J137" s="7">
        <f t="shared" si="33"/>
        <v>0.28501939000203708</v>
      </c>
      <c r="K137" s="3"/>
      <c r="L137" s="8">
        <f t="shared" si="34"/>
        <v>1683.6699999999837</v>
      </c>
      <c r="M137" s="3"/>
      <c r="N137" s="7">
        <f t="shared" si="35"/>
        <v>1.2386477642182248E-2</v>
      </c>
      <c r="O137" s="12"/>
      <c r="P137" s="8">
        <v>137611.74</v>
      </c>
      <c r="Q137" s="3"/>
      <c r="R137" s="7">
        <f t="shared" si="36"/>
        <v>0.27295837315454924</v>
      </c>
      <c r="S137" s="3"/>
      <c r="T137" s="8">
        <v>135928.07</v>
      </c>
      <c r="U137" s="3"/>
      <c r="V137" s="7">
        <f t="shared" si="37"/>
        <v>0.28501939000203708</v>
      </c>
      <c r="W137" s="3"/>
      <c r="X137" s="8">
        <f t="shared" si="38"/>
        <v>1683.6699999999837</v>
      </c>
      <c r="Y137" s="3"/>
      <c r="Z137" s="7">
        <f t="shared" si="39"/>
        <v>1.2386477642182248E-2</v>
      </c>
    </row>
    <row r="138" spans="1:26" s="24" customFormat="1" hidden="1" outlineLevel="2" x14ac:dyDescent="0.3">
      <c r="A138" s="27"/>
      <c r="B138" s="12" t="str">
        <f>CONCATENATE("          ", "6004", " - ", "STAFF HOURLY")</f>
        <v xml:space="preserve">          6004 - STAFF HOURLY</v>
      </c>
      <c r="C138" s="12"/>
      <c r="D138" s="8">
        <v>64891.03</v>
      </c>
      <c r="E138" s="3"/>
      <c r="F138" s="7">
        <f t="shared" si="32"/>
        <v>0.12871394534451094</v>
      </c>
      <c r="G138" s="3"/>
      <c r="H138" s="8">
        <v>54669.48</v>
      </c>
      <c r="I138" s="3"/>
      <c r="J138" s="7">
        <f t="shared" si="33"/>
        <v>0.11463314267118312</v>
      </c>
      <c r="K138" s="3"/>
      <c r="L138" s="8">
        <f t="shared" si="34"/>
        <v>10221.549999999996</v>
      </c>
      <c r="M138" s="3"/>
      <c r="N138" s="7">
        <f t="shared" si="35"/>
        <v>0.18696995105861616</v>
      </c>
      <c r="O138" s="12"/>
      <c r="P138" s="8">
        <v>64891.03</v>
      </c>
      <c r="Q138" s="3"/>
      <c r="R138" s="7">
        <f t="shared" si="36"/>
        <v>0.12871394534451094</v>
      </c>
      <c r="S138" s="3"/>
      <c r="T138" s="8">
        <v>54669.48</v>
      </c>
      <c r="U138" s="3"/>
      <c r="V138" s="7">
        <f t="shared" si="37"/>
        <v>0.11463314267118312</v>
      </c>
      <c r="W138" s="3"/>
      <c r="X138" s="8">
        <f t="shared" si="38"/>
        <v>10221.549999999996</v>
      </c>
      <c r="Y138" s="3"/>
      <c r="Z138" s="7">
        <f t="shared" si="39"/>
        <v>0.18696995105861616</v>
      </c>
    </row>
    <row r="139" spans="1:26" s="24" customFormat="1" hidden="1" outlineLevel="2" x14ac:dyDescent="0.3">
      <c r="A139" s="27"/>
      <c r="B139" s="12" t="str">
        <f>CONCATENATE("          ", "6005", " - ", "TEMPORARY WAGES-HOURLY")</f>
        <v xml:space="preserve">          6005 - TEMPORARY WAGES-HOURLY</v>
      </c>
      <c r="C139" s="12"/>
      <c r="D139" s="8">
        <v>23606.71</v>
      </c>
      <c r="E139" s="3"/>
      <c r="F139" s="7">
        <f t="shared" si="32"/>
        <v>4.6824850533328258E-2</v>
      </c>
      <c r="G139" s="3"/>
      <c r="H139" s="8">
        <v>19122.939999999999</v>
      </c>
      <c r="I139" s="3"/>
      <c r="J139" s="7">
        <f t="shared" si="33"/>
        <v>4.0097742091427871E-2</v>
      </c>
      <c r="K139" s="3"/>
      <c r="L139" s="8">
        <f t="shared" si="34"/>
        <v>4483.7700000000004</v>
      </c>
      <c r="M139" s="3"/>
      <c r="N139" s="7">
        <f t="shared" si="35"/>
        <v>0.23447074560710857</v>
      </c>
      <c r="O139" s="12"/>
      <c r="P139" s="8">
        <v>23606.71</v>
      </c>
      <c r="Q139" s="3"/>
      <c r="R139" s="7">
        <f t="shared" si="36"/>
        <v>4.6824850533328258E-2</v>
      </c>
      <c r="S139" s="3"/>
      <c r="T139" s="8">
        <v>19122.939999999999</v>
      </c>
      <c r="U139" s="3"/>
      <c r="V139" s="7">
        <f t="shared" si="37"/>
        <v>4.0097742091427871E-2</v>
      </c>
      <c r="W139" s="3"/>
      <c r="X139" s="8">
        <f t="shared" si="38"/>
        <v>4483.7700000000004</v>
      </c>
      <c r="Y139" s="3"/>
      <c r="Z139" s="7">
        <f t="shared" si="39"/>
        <v>0.23447074560710857</v>
      </c>
    </row>
    <row r="140" spans="1:26" s="24" customFormat="1" hidden="1" outlineLevel="2" x14ac:dyDescent="0.3">
      <c r="A140" s="27"/>
      <c r="B140" s="12" t="str">
        <f>CONCATENATE("          ", "6006", " - ", "TEMPORARY PART TIME")</f>
        <v xml:space="preserve">          6006 - TEMPORARY PART TIME</v>
      </c>
      <c r="C140" s="12"/>
      <c r="D140" s="8">
        <v>2864.4</v>
      </c>
      <c r="E140" s="3"/>
      <c r="F140" s="7">
        <f t="shared" si="32"/>
        <v>5.6816516095493808E-3</v>
      </c>
      <c r="G140" s="3"/>
      <c r="H140" s="8">
        <v>2048.21</v>
      </c>
      <c r="I140" s="3"/>
      <c r="J140" s="7">
        <f t="shared" si="33"/>
        <v>4.2947682902881824E-3</v>
      </c>
      <c r="K140" s="3"/>
      <c r="L140" s="8">
        <f t="shared" si="34"/>
        <v>816.19</v>
      </c>
      <c r="M140" s="3"/>
      <c r="N140" s="7">
        <f t="shared" si="35"/>
        <v>0.3984894127067049</v>
      </c>
      <c r="O140" s="12"/>
      <c r="P140" s="8">
        <v>2864.4</v>
      </c>
      <c r="Q140" s="3"/>
      <c r="R140" s="7">
        <f t="shared" si="36"/>
        <v>5.6816516095493808E-3</v>
      </c>
      <c r="S140" s="3"/>
      <c r="T140" s="8">
        <v>2048.21</v>
      </c>
      <c r="U140" s="3"/>
      <c r="V140" s="7">
        <f t="shared" si="37"/>
        <v>4.2947682902881824E-3</v>
      </c>
      <c r="W140" s="3"/>
      <c r="X140" s="8">
        <f t="shared" si="38"/>
        <v>816.19</v>
      </c>
      <c r="Y140" s="3"/>
      <c r="Z140" s="7">
        <f t="shared" si="39"/>
        <v>0.3984894127067049</v>
      </c>
    </row>
    <row r="141" spans="1:26" s="24" customFormat="1" hidden="1" outlineLevel="2" x14ac:dyDescent="0.3">
      <c r="A141" s="27"/>
      <c r="B141" s="12" t="str">
        <f>CONCATENATE("          ", "6007", " - ", "STUDENT HOURLY")</f>
        <v xml:space="preserve">          6007 - STUDENT HOURLY</v>
      </c>
      <c r="C141" s="12"/>
      <c r="D141" s="8">
        <v>73560.31</v>
      </c>
      <c r="E141" s="3"/>
      <c r="F141" s="7">
        <f t="shared" si="32"/>
        <v>0.14590980788662594</v>
      </c>
      <c r="G141" s="3"/>
      <c r="H141" s="8">
        <v>33444.03</v>
      </c>
      <c r="I141" s="3"/>
      <c r="J141" s="7">
        <f t="shared" si="33"/>
        <v>7.0126773887173033E-2</v>
      </c>
      <c r="K141" s="3"/>
      <c r="L141" s="8">
        <f t="shared" si="34"/>
        <v>40116.28</v>
      </c>
      <c r="M141" s="3"/>
      <c r="N141" s="7">
        <f t="shared" si="35"/>
        <v>1.199504963965168</v>
      </c>
      <c r="O141" s="12"/>
      <c r="P141" s="8">
        <v>73560.31</v>
      </c>
      <c r="Q141" s="3"/>
      <c r="R141" s="7">
        <f t="shared" si="36"/>
        <v>0.14590980788662594</v>
      </c>
      <c r="S141" s="3"/>
      <c r="T141" s="8">
        <v>33444.03</v>
      </c>
      <c r="U141" s="3"/>
      <c r="V141" s="7">
        <f t="shared" si="37"/>
        <v>7.0126773887173033E-2</v>
      </c>
      <c r="W141" s="3"/>
      <c r="X141" s="8">
        <f t="shared" si="38"/>
        <v>40116.28</v>
      </c>
      <c r="Y141" s="3"/>
      <c r="Z141" s="7">
        <f t="shared" si="39"/>
        <v>1.199504963965168</v>
      </c>
    </row>
    <row r="142" spans="1:26" s="24" customFormat="1" hidden="1" outlineLevel="2" x14ac:dyDescent="0.3">
      <c r="A142" s="27"/>
      <c r="B142" s="12" t="str">
        <f>CONCATENATE("          ", "6008", " - ", "STUDENT HOURLY-FICA EXEMPT")</f>
        <v xml:space="preserve">          6008 - STUDENT HOURLY-FICA EXEMPT</v>
      </c>
      <c r="C142" s="12"/>
      <c r="D142" s="8">
        <v>9784.35</v>
      </c>
      <c r="E142" s="3"/>
      <c r="F142" s="7">
        <f t="shared" si="32"/>
        <v>1.9407648347261025E-2</v>
      </c>
      <c r="G142" s="3"/>
      <c r="H142" s="8"/>
      <c r="I142" s="3"/>
      <c r="J142" s="7">
        <f t="shared" si="33"/>
        <v>0</v>
      </c>
      <c r="K142" s="3"/>
      <c r="L142" s="8">
        <f t="shared" si="34"/>
        <v>9784.35</v>
      </c>
      <c r="M142" s="3"/>
      <c r="N142" s="7">
        <f t="shared" si="35"/>
        <v>0</v>
      </c>
      <c r="O142" s="12"/>
      <c r="P142" s="8">
        <v>9784.35</v>
      </c>
      <c r="Q142" s="3"/>
      <c r="R142" s="7">
        <f t="shared" si="36"/>
        <v>1.9407648347261025E-2</v>
      </c>
      <c r="S142" s="3"/>
      <c r="T142" s="8"/>
      <c r="U142" s="3"/>
      <c r="V142" s="7">
        <f t="shared" si="37"/>
        <v>0</v>
      </c>
      <c r="W142" s="3"/>
      <c r="X142" s="8">
        <f t="shared" si="38"/>
        <v>9784.35</v>
      </c>
      <c r="Y142" s="3"/>
      <c r="Z142" s="7">
        <f t="shared" si="39"/>
        <v>0</v>
      </c>
    </row>
    <row r="143" spans="1:26" s="29" customFormat="1" outlineLevel="1" collapsed="1" x14ac:dyDescent="0.3">
      <c r="A143" s="28"/>
      <c r="B143" s="14" t="str">
        <f>CONCATENATE("     ","Advertising/Promo                                 ")</f>
        <v xml:space="preserve">     Advertising/Promo                                 </v>
      </c>
      <c r="C143" s="14"/>
      <c r="D143" s="1">
        <f>SUM(OSRRefD22_2x_0)</f>
        <v>1084.78</v>
      </c>
      <c r="E143" s="1"/>
      <c r="F143" s="5">
        <f t="shared" ref="F143:F151" si="40">IF(D$12=0,0,D143/D$12)</f>
        <v>2.1517043824210921E-3</v>
      </c>
      <c r="G143" s="1"/>
      <c r="H143" s="1">
        <f>SUM(OSRRefH22_2x_0)</f>
        <v>3510.94</v>
      </c>
      <c r="I143" s="1"/>
      <c r="J143" s="5">
        <f t="shared" ref="J143:J151" si="41">IF(H$12=0,0,H143/H$12)</f>
        <v>7.3618788020292794E-3</v>
      </c>
      <c r="K143" s="1"/>
      <c r="L143" s="1">
        <f t="shared" ref="L143:L151" si="42">+D143-H143</f>
        <v>-2426.16</v>
      </c>
      <c r="M143" s="1"/>
      <c r="N143" s="5">
        <f t="shared" ref="N143:N151" si="43">IF(H143=0,0,L143/H143)</f>
        <v>-0.69102861341976785</v>
      </c>
      <c r="O143" s="14"/>
      <c r="P143" s="1">
        <f>SUM(OSRRefP22_2x_0)</f>
        <v>1084.78</v>
      </c>
      <c r="Q143" s="1"/>
      <c r="R143" s="5">
        <f t="shared" ref="R143:R151" si="44">IF(P$12=0,0,P143/P$12)</f>
        <v>2.1517043824210921E-3</v>
      </c>
      <c r="S143" s="1"/>
      <c r="T143" s="1">
        <f>SUM(OSRRefT22_2x_0)</f>
        <v>3510.94</v>
      </c>
      <c r="U143" s="1"/>
      <c r="V143" s="5">
        <f t="shared" ref="V143:V151" si="45">IF(T$12=0,0,T143/T$12)</f>
        <v>7.3618788020292794E-3</v>
      </c>
      <c r="W143" s="1"/>
      <c r="X143" s="1">
        <f t="shared" ref="X143:X151" si="46">+P143-T143</f>
        <v>-2426.16</v>
      </c>
      <c r="Y143" s="1"/>
      <c r="Z143" s="5">
        <f t="shared" ref="Z143:Z151" si="47">IF(T143=0,0,X143/T143)</f>
        <v>-0.69102861341976785</v>
      </c>
    </row>
    <row r="144" spans="1:26" s="24" customFormat="1" hidden="1" outlineLevel="2" x14ac:dyDescent="0.3">
      <c r="A144" s="27"/>
      <c r="B144" s="12" t="str">
        <f>CONCATENATE("          ", "6362", " - ", "ADVERTISING EXPENSE")</f>
        <v xml:space="preserve">          6362 - ADVERTISING EXPENSE</v>
      </c>
      <c r="C144" s="12"/>
      <c r="D144" s="8">
        <v>1084.78</v>
      </c>
      <c r="E144" s="3"/>
      <c r="F144" s="7">
        <f t="shared" si="40"/>
        <v>2.1517043824210921E-3</v>
      </c>
      <c r="G144" s="3"/>
      <c r="H144" s="8">
        <v>3510.94</v>
      </c>
      <c r="I144" s="3"/>
      <c r="J144" s="7">
        <f t="shared" si="41"/>
        <v>7.3618788020292794E-3</v>
      </c>
      <c r="K144" s="3"/>
      <c r="L144" s="8">
        <f t="shared" si="42"/>
        <v>-2426.16</v>
      </c>
      <c r="M144" s="3"/>
      <c r="N144" s="7">
        <f t="shared" si="43"/>
        <v>-0.69102861341976785</v>
      </c>
      <c r="O144" s="12"/>
      <c r="P144" s="8">
        <v>1084.78</v>
      </c>
      <c r="Q144" s="3"/>
      <c r="R144" s="7">
        <f t="shared" si="44"/>
        <v>2.1517043824210921E-3</v>
      </c>
      <c r="S144" s="3"/>
      <c r="T144" s="8">
        <v>3510.94</v>
      </c>
      <c r="U144" s="3"/>
      <c r="V144" s="7">
        <f t="shared" si="45"/>
        <v>7.3618788020292794E-3</v>
      </c>
      <c r="W144" s="3"/>
      <c r="X144" s="8">
        <f t="shared" si="46"/>
        <v>-2426.16</v>
      </c>
      <c r="Y144" s="3"/>
      <c r="Z144" s="7">
        <f t="shared" si="47"/>
        <v>-0.69102861341976785</v>
      </c>
    </row>
    <row r="145" spans="1:26" s="29" customFormat="1" outlineLevel="1" collapsed="1" x14ac:dyDescent="0.3">
      <c r="A145" s="28"/>
      <c r="B145" s="14" t="str">
        <f>CONCATENATE("     ","Bad Debts/Over/Short                              ")</f>
        <v xml:space="preserve">     Bad Debts/Over/Short                              </v>
      </c>
      <c r="C145" s="14"/>
      <c r="D145" s="1">
        <f>SUM(OSRRefD22_3x_0)</f>
        <v>-17.75</v>
      </c>
      <c r="E145" s="1"/>
      <c r="F145" s="5">
        <f t="shared" si="40"/>
        <v>-3.5207832729193377E-5</v>
      </c>
      <c r="G145" s="1"/>
      <c r="H145" s="1">
        <f>SUM(OSRRefH22_3x_0)</f>
        <v>4.9800000000000004</v>
      </c>
      <c r="I145" s="1"/>
      <c r="J145" s="5">
        <f t="shared" si="41"/>
        <v>1.0442262309838907E-5</v>
      </c>
      <c r="K145" s="1"/>
      <c r="L145" s="1">
        <f t="shared" si="42"/>
        <v>-22.73</v>
      </c>
      <c r="M145" s="1"/>
      <c r="N145" s="5">
        <f t="shared" si="43"/>
        <v>-4.5642570281124497</v>
      </c>
      <c r="O145" s="14"/>
      <c r="P145" s="1">
        <f>SUM(OSRRefP22_3x_0)</f>
        <v>-17.75</v>
      </c>
      <c r="Q145" s="1"/>
      <c r="R145" s="5">
        <f t="shared" si="44"/>
        <v>-3.5207832729193377E-5</v>
      </c>
      <c r="S145" s="1"/>
      <c r="T145" s="1">
        <f>SUM(OSRRefT22_3x_0)</f>
        <v>4.9800000000000004</v>
      </c>
      <c r="U145" s="1"/>
      <c r="V145" s="5">
        <f t="shared" si="45"/>
        <v>1.0442262309838907E-5</v>
      </c>
      <c r="W145" s="1"/>
      <c r="X145" s="1">
        <f t="shared" si="46"/>
        <v>-22.73</v>
      </c>
      <c r="Y145" s="1"/>
      <c r="Z145" s="5">
        <f t="shared" si="47"/>
        <v>-4.5642570281124497</v>
      </c>
    </row>
    <row r="146" spans="1:26" s="24" customFormat="1" hidden="1" outlineLevel="2" x14ac:dyDescent="0.3">
      <c r="A146" s="27"/>
      <c r="B146" s="12" t="str">
        <f>CONCATENATE("          ", "6272", " - ", "CASH (OVER/SHORT)")</f>
        <v xml:space="preserve">          6272 - CASH (OVER/SHORT)</v>
      </c>
      <c r="C146" s="12"/>
      <c r="D146" s="8">
        <v>-17.75</v>
      </c>
      <c r="E146" s="3"/>
      <c r="F146" s="7">
        <f t="shared" si="40"/>
        <v>-3.5207832729193377E-5</v>
      </c>
      <c r="G146" s="3"/>
      <c r="H146" s="8">
        <v>4.9800000000000004</v>
      </c>
      <c r="I146" s="3"/>
      <c r="J146" s="7">
        <f t="shared" si="41"/>
        <v>1.0442262309838907E-5</v>
      </c>
      <c r="K146" s="3"/>
      <c r="L146" s="8">
        <f t="shared" si="42"/>
        <v>-22.73</v>
      </c>
      <c r="M146" s="3"/>
      <c r="N146" s="7">
        <f t="shared" si="43"/>
        <v>-4.5642570281124497</v>
      </c>
      <c r="O146" s="12"/>
      <c r="P146" s="8">
        <v>-17.75</v>
      </c>
      <c r="Q146" s="3"/>
      <c r="R146" s="7">
        <f t="shared" si="44"/>
        <v>-3.5207832729193377E-5</v>
      </c>
      <c r="S146" s="3"/>
      <c r="T146" s="8">
        <v>4.9800000000000004</v>
      </c>
      <c r="U146" s="3"/>
      <c r="V146" s="7">
        <f t="shared" si="45"/>
        <v>1.0442262309838907E-5</v>
      </c>
      <c r="W146" s="3"/>
      <c r="X146" s="8">
        <f t="shared" si="46"/>
        <v>-22.73</v>
      </c>
      <c r="Y146" s="3"/>
      <c r="Z146" s="7">
        <f t="shared" si="47"/>
        <v>-4.5642570281124497</v>
      </c>
    </row>
    <row r="147" spans="1:26" s="29" customFormat="1" outlineLevel="1" collapsed="1" x14ac:dyDescent="0.3">
      <c r="A147" s="28"/>
      <c r="B147" s="14" t="str">
        <f>CONCATENATE("     ","Bank/card Fees                                    ")</f>
        <v xml:space="preserve">     Bank/card Fees                                    </v>
      </c>
      <c r="C147" s="14"/>
      <c r="D147" s="1">
        <f>SUM(OSRRefD22_4x_0)</f>
        <v>5091.76</v>
      </c>
      <c r="E147" s="1"/>
      <c r="F147" s="5">
        <f t="shared" si="40"/>
        <v>1.0099708978997052E-2</v>
      </c>
      <c r="G147" s="1"/>
      <c r="H147" s="1">
        <f>SUM(OSRRefH22_4x_0)</f>
        <v>3706.36</v>
      </c>
      <c r="I147" s="1"/>
      <c r="J147" s="5">
        <f t="shared" si="41"/>
        <v>7.7716432398985003E-3</v>
      </c>
      <c r="K147" s="1"/>
      <c r="L147" s="1">
        <f t="shared" si="42"/>
        <v>1385.4</v>
      </c>
      <c r="M147" s="1"/>
      <c r="N147" s="5">
        <f t="shared" si="43"/>
        <v>0.37378991787090299</v>
      </c>
      <c r="O147" s="14"/>
      <c r="P147" s="1">
        <f>SUM(OSRRefP22_4x_0)</f>
        <v>5091.76</v>
      </c>
      <c r="Q147" s="1"/>
      <c r="R147" s="5">
        <f t="shared" si="44"/>
        <v>1.0099708978997052E-2</v>
      </c>
      <c r="S147" s="1"/>
      <c r="T147" s="1">
        <f>SUM(OSRRefT22_4x_0)</f>
        <v>3706.36</v>
      </c>
      <c r="U147" s="1"/>
      <c r="V147" s="5">
        <f t="shared" si="45"/>
        <v>7.7716432398985003E-3</v>
      </c>
      <c r="W147" s="1"/>
      <c r="X147" s="1">
        <f t="shared" si="46"/>
        <v>1385.4</v>
      </c>
      <c r="Y147" s="1"/>
      <c r="Z147" s="5">
        <f t="shared" si="47"/>
        <v>0.37378991787090299</v>
      </c>
    </row>
    <row r="148" spans="1:26" s="24" customFormat="1" hidden="1" outlineLevel="2" x14ac:dyDescent="0.3">
      <c r="A148" s="27"/>
      <c r="B148" s="12" t="str">
        <f>CONCATENATE("          ", "6381", " - ", "BANK/CREDIT CARD FEES")</f>
        <v xml:space="preserve">          6381 - BANK/CREDIT CARD FEES</v>
      </c>
      <c r="C148" s="12"/>
      <c r="D148" s="8">
        <v>5091.76</v>
      </c>
      <c r="E148" s="3"/>
      <c r="F148" s="7">
        <f t="shared" si="40"/>
        <v>1.0099708978997052E-2</v>
      </c>
      <c r="G148" s="3"/>
      <c r="H148" s="8">
        <v>3706.36</v>
      </c>
      <c r="I148" s="3"/>
      <c r="J148" s="7">
        <f t="shared" si="41"/>
        <v>7.7716432398985003E-3</v>
      </c>
      <c r="K148" s="3"/>
      <c r="L148" s="8">
        <f t="shared" si="42"/>
        <v>1385.4</v>
      </c>
      <c r="M148" s="3"/>
      <c r="N148" s="7">
        <f t="shared" si="43"/>
        <v>0.37378991787090299</v>
      </c>
      <c r="O148" s="12"/>
      <c r="P148" s="8">
        <v>5091.76</v>
      </c>
      <c r="Q148" s="3"/>
      <c r="R148" s="7">
        <f t="shared" si="44"/>
        <v>1.0099708978997052E-2</v>
      </c>
      <c r="S148" s="3"/>
      <c r="T148" s="8">
        <v>3706.36</v>
      </c>
      <c r="U148" s="3"/>
      <c r="V148" s="7">
        <f t="shared" si="45"/>
        <v>7.7716432398985003E-3</v>
      </c>
      <c r="W148" s="3"/>
      <c r="X148" s="8">
        <f t="shared" si="46"/>
        <v>1385.4</v>
      </c>
      <c r="Y148" s="3"/>
      <c r="Z148" s="7">
        <f t="shared" si="47"/>
        <v>0.37378991787090299</v>
      </c>
    </row>
    <row r="149" spans="1:26" s="29" customFormat="1" outlineLevel="1" collapsed="1" x14ac:dyDescent="0.3">
      <c r="A149" s="28"/>
      <c r="B149" s="14" t="str">
        <f>CONCATENATE("     ","Depreciation                                      ")</f>
        <v xml:space="preserve">     Depreciation                                      </v>
      </c>
      <c r="C149" s="14"/>
      <c r="D149" s="1">
        <f>SUM(OSRRefD22_5x_0)</f>
        <v>71722.81</v>
      </c>
      <c r="E149" s="1"/>
      <c r="F149" s="5">
        <f t="shared" si="40"/>
        <v>0.14226505337170242</v>
      </c>
      <c r="G149" s="1"/>
      <c r="H149" s="1">
        <f>SUM(OSRRefH22_5x_0)</f>
        <v>77387.06</v>
      </c>
      <c r="I149" s="1"/>
      <c r="J149" s="5">
        <f t="shared" si="41"/>
        <v>0.16226826905767913</v>
      </c>
      <c r="K149" s="1"/>
      <c r="L149" s="1">
        <f t="shared" si="42"/>
        <v>-5664.25</v>
      </c>
      <c r="M149" s="1"/>
      <c r="N149" s="5">
        <f t="shared" si="43"/>
        <v>-7.3193761334259241E-2</v>
      </c>
      <c r="O149" s="14"/>
      <c r="P149" s="1">
        <f>SUM(OSRRefP22_5x_0)</f>
        <v>71722.81</v>
      </c>
      <c r="Q149" s="1"/>
      <c r="R149" s="5">
        <f t="shared" si="44"/>
        <v>0.14226505337170242</v>
      </c>
      <c r="S149" s="1"/>
      <c r="T149" s="1">
        <f>SUM(OSRRefT22_5x_0)</f>
        <v>77387.06</v>
      </c>
      <c r="U149" s="1"/>
      <c r="V149" s="5">
        <f t="shared" si="45"/>
        <v>0.16226826905767913</v>
      </c>
      <c r="W149" s="1"/>
      <c r="X149" s="1">
        <f t="shared" si="46"/>
        <v>-5664.25</v>
      </c>
      <c r="Y149" s="1"/>
      <c r="Z149" s="5">
        <f t="shared" si="47"/>
        <v>-7.3193761334259241E-2</v>
      </c>
    </row>
    <row r="150" spans="1:26" s="24" customFormat="1" hidden="1" outlineLevel="2" x14ac:dyDescent="0.3">
      <c r="A150" s="27"/>
      <c r="B150" s="12" t="str">
        <f>CONCATENATE("          ", "6321", " - ", "BUILDING DEPRECIATION")</f>
        <v xml:space="preserve">          6321 - BUILDING DEPRECIATION</v>
      </c>
      <c r="C150" s="12"/>
      <c r="D150" s="8">
        <v>45060.5</v>
      </c>
      <c r="E150" s="3"/>
      <c r="F150" s="7">
        <f t="shared" si="40"/>
        <v>8.9379298405285523E-2</v>
      </c>
      <c r="G150" s="3"/>
      <c r="H150" s="8">
        <v>45321.919999999998</v>
      </c>
      <c r="I150" s="3"/>
      <c r="J150" s="7">
        <f t="shared" si="41"/>
        <v>9.5032806631633354E-2</v>
      </c>
      <c r="K150" s="3"/>
      <c r="L150" s="8">
        <f t="shared" si="42"/>
        <v>-261.41999999999825</v>
      </c>
      <c r="M150" s="3"/>
      <c r="N150" s="7">
        <f t="shared" si="43"/>
        <v>-5.7680698434664345E-3</v>
      </c>
      <c r="O150" s="12"/>
      <c r="P150" s="8">
        <v>45060.5</v>
      </c>
      <c r="Q150" s="3"/>
      <c r="R150" s="7">
        <f t="shared" si="44"/>
        <v>8.9379298405285523E-2</v>
      </c>
      <c r="S150" s="3"/>
      <c r="T150" s="8">
        <v>45321.919999999998</v>
      </c>
      <c r="U150" s="3"/>
      <c r="V150" s="7">
        <f t="shared" si="45"/>
        <v>9.5032806631633354E-2</v>
      </c>
      <c r="W150" s="3"/>
      <c r="X150" s="8">
        <f t="shared" si="46"/>
        <v>-261.41999999999825</v>
      </c>
      <c r="Y150" s="3"/>
      <c r="Z150" s="7">
        <f t="shared" si="47"/>
        <v>-5.7680698434664345E-3</v>
      </c>
    </row>
    <row r="151" spans="1:26" s="24" customFormat="1" hidden="1" outlineLevel="2" x14ac:dyDescent="0.3">
      <c r="A151" s="27"/>
      <c r="B151" s="12" t="str">
        <f>CONCATENATE("          ", "6322", " - ", "EQUIPMENT DEPRECIATION EXPENSE")</f>
        <v xml:space="preserve">          6322 - EQUIPMENT DEPRECIATION EXPENSE</v>
      </c>
      <c r="C151" s="12"/>
      <c r="D151" s="8">
        <v>26662.31</v>
      </c>
      <c r="E151" s="3"/>
      <c r="F151" s="7">
        <f t="shared" si="40"/>
        <v>5.2885754966416891E-2</v>
      </c>
      <c r="G151" s="3"/>
      <c r="H151" s="8">
        <v>32065.14</v>
      </c>
      <c r="I151" s="3"/>
      <c r="J151" s="7">
        <f t="shared" si="41"/>
        <v>6.7235462426045764E-2</v>
      </c>
      <c r="K151" s="3"/>
      <c r="L151" s="8">
        <f t="shared" si="42"/>
        <v>-5402.8299999999981</v>
      </c>
      <c r="M151" s="3"/>
      <c r="N151" s="7">
        <f t="shared" si="43"/>
        <v>-0.16849544396188504</v>
      </c>
      <c r="O151" s="12"/>
      <c r="P151" s="8">
        <v>26662.31</v>
      </c>
      <c r="Q151" s="3"/>
      <c r="R151" s="7">
        <f t="shared" si="44"/>
        <v>5.2885754966416891E-2</v>
      </c>
      <c r="S151" s="3"/>
      <c r="T151" s="8">
        <v>32065.14</v>
      </c>
      <c r="U151" s="3"/>
      <c r="V151" s="7">
        <f t="shared" si="45"/>
        <v>6.7235462426045764E-2</v>
      </c>
      <c r="W151" s="3"/>
      <c r="X151" s="8">
        <f t="shared" si="46"/>
        <v>-5402.8299999999981</v>
      </c>
      <c r="Y151" s="3"/>
      <c r="Z151" s="7">
        <f t="shared" si="47"/>
        <v>-0.16849544396188504</v>
      </c>
    </row>
    <row r="152" spans="1:26" s="29" customFormat="1" outlineLevel="1" collapsed="1" x14ac:dyDescent="0.3">
      <c r="A152" s="28"/>
      <c r="B152" s="14" t="str">
        <f>CONCATENATE("     ","Discounts and Markdowns                           ")</f>
        <v xml:space="preserve">     Discounts and Markdowns                           </v>
      </c>
      <c r="C152" s="14"/>
      <c r="D152" s="1">
        <f>SUM(OSRRefD22_6x_0)</f>
        <v>-0.68</v>
      </c>
      <c r="E152" s="1"/>
      <c r="F152" s="5">
        <f t="shared" ref="F152:F154" si="48">IF(D$12=0,0,D152/D$12)</f>
        <v>-1.3488071130057181E-6</v>
      </c>
      <c r="G152" s="1"/>
      <c r="H152" s="1">
        <f>SUM(OSRRefH22_6x_0)</f>
        <v>0</v>
      </c>
      <c r="I152" s="1"/>
      <c r="J152" s="5">
        <f t="shared" ref="J152:J154" si="49">IF(H$12=0,0,H152/H$12)</f>
        <v>0</v>
      </c>
      <c r="K152" s="1"/>
      <c r="L152" s="1">
        <f t="shared" ref="L152:L154" si="50">+D152-H152</f>
        <v>-0.68</v>
      </c>
      <c r="M152" s="1"/>
      <c r="N152" s="5">
        <f t="shared" ref="N152:N154" si="51">IF(H152=0,0,L152/H152)</f>
        <v>0</v>
      </c>
      <c r="O152" s="14"/>
      <c r="P152" s="1">
        <f>SUM(OSRRefP22_6x_0)</f>
        <v>-0.68</v>
      </c>
      <c r="Q152" s="1"/>
      <c r="R152" s="5">
        <f t="shared" ref="R152:R154" si="52">IF(P$12=0,0,P152/P$12)</f>
        <v>-1.3488071130057181E-6</v>
      </c>
      <c r="S152" s="1"/>
      <c r="T152" s="1">
        <f>SUM(OSRRefT22_6x_0)</f>
        <v>0</v>
      </c>
      <c r="U152" s="1"/>
      <c r="V152" s="5">
        <f t="shared" ref="V152:V154" si="53">IF(T$12=0,0,T152/T$12)</f>
        <v>0</v>
      </c>
      <c r="W152" s="1"/>
      <c r="X152" s="1">
        <f t="shared" ref="X152:X154" si="54">+P152-T152</f>
        <v>-0.68</v>
      </c>
      <c r="Y152" s="1"/>
      <c r="Z152" s="5">
        <f t="shared" ref="Z152:Z154" si="55">IF(T152=0,0,X152/T152)</f>
        <v>0</v>
      </c>
    </row>
    <row r="153" spans="1:26" s="24" customFormat="1" hidden="1" outlineLevel="2" x14ac:dyDescent="0.3">
      <c r="A153" s="27"/>
      <c r="B153" s="12" t="str">
        <f>CONCATENATE("          ", "6382", " - ", "DISCOUNTS/MARK DOWNS")</f>
        <v xml:space="preserve">          6382 - DISCOUNTS/MARK DOWNS</v>
      </c>
      <c r="C153" s="12"/>
      <c r="D153" s="8"/>
      <c r="E153" s="3"/>
      <c r="F153" s="7">
        <f t="shared" si="48"/>
        <v>0</v>
      </c>
      <c r="G153" s="3"/>
      <c r="H153" s="8">
        <v>0</v>
      </c>
      <c r="I153" s="3"/>
      <c r="J153" s="7">
        <f t="shared" si="49"/>
        <v>0</v>
      </c>
      <c r="K153" s="3"/>
      <c r="L153" s="8">
        <f t="shared" si="50"/>
        <v>0</v>
      </c>
      <c r="M153" s="3"/>
      <c r="N153" s="7">
        <f t="shared" si="51"/>
        <v>0</v>
      </c>
      <c r="O153" s="12"/>
      <c r="P153" s="8"/>
      <c r="Q153" s="3"/>
      <c r="R153" s="7">
        <f t="shared" si="52"/>
        <v>0</v>
      </c>
      <c r="S153" s="3"/>
      <c r="T153" s="8">
        <v>0</v>
      </c>
      <c r="U153" s="3"/>
      <c r="V153" s="7">
        <f t="shared" si="53"/>
        <v>0</v>
      </c>
      <c r="W153" s="3"/>
      <c r="X153" s="8">
        <f t="shared" si="54"/>
        <v>0</v>
      </c>
      <c r="Y153" s="3"/>
      <c r="Z153" s="7">
        <f t="shared" si="55"/>
        <v>0</v>
      </c>
    </row>
    <row r="154" spans="1:26" s="24" customFormat="1" hidden="1" outlineLevel="2" x14ac:dyDescent="0.3">
      <c r="A154" s="27"/>
      <c r="B154" s="12" t="str">
        <f>CONCATENATE("          ", "9175", " - ", "EARNED DISCOUNTS")</f>
        <v xml:space="preserve">          9175 - EARNED DISCOUNTS</v>
      </c>
      <c r="C154" s="12"/>
      <c r="D154" s="8">
        <v>-0.68</v>
      </c>
      <c r="E154" s="3"/>
      <c r="F154" s="7">
        <f t="shared" si="48"/>
        <v>-1.3488071130057181E-6</v>
      </c>
      <c r="G154" s="3"/>
      <c r="H154" s="8"/>
      <c r="I154" s="3"/>
      <c r="J154" s="7">
        <f t="shared" si="49"/>
        <v>0</v>
      </c>
      <c r="K154" s="3"/>
      <c r="L154" s="8">
        <f t="shared" si="50"/>
        <v>-0.68</v>
      </c>
      <c r="M154" s="3"/>
      <c r="N154" s="7">
        <f t="shared" si="51"/>
        <v>0</v>
      </c>
      <c r="O154" s="12"/>
      <c r="P154" s="8">
        <v>-0.68</v>
      </c>
      <c r="Q154" s="3"/>
      <c r="R154" s="7">
        <f t="shared" si="52"/>
        <v>-1.3488071130057181E-6</v>
      </c>
      <c r="S154" s="3"/>
      <c r="T154" s="8"/>
      <c r="U154" s="3"/>
      <c r="V154" s="7">
        <f t="shared" si="53"/>
        <v>0</v>
      </c>
      <c r="W154" s="3"/>
      <c r="X154" s="8">
        <f t="shared" si="54"/>
        <v>-0.68</v>
      </c>
      <c r="Y154" s="3"/>
      <c r="Z154" s="7">
        <f t="shared" si="55"/>
        <v>0</v>
      </c>
    </row>
    <row r="155" spans="1:26" s="29" customFormat="1" outlineLevel="1" collapsed="1" x14ac:dyDescent="0.3">
      <c r="A155" s="28"/>
      <c r="B155" s="14" t="str">
        <f>CONCATENATE("     ","Employees' Appreciation                           ")</f>
        <v xml:space="preserve">     Employees' Appreciation                           </v>
      </c>
      <c r="C155" s="14"/>
      <c r="D155" s="1">
        <f>SUM(OSRRefD22_7x_0)</f>
        <v>537.36</v>
      </c>
      <c r="E155" s="1"/>
      <c r="F155" s="5">
        <f t="shared" ref="F155:F161" si="56">IF(D$12=0,0,D155/D$12)</f>
        <v>1.065874985654048E-3</v>
      </c>
      <c r="G155" s="1"/>
      <c r="H155" s="1">
        <f>SUM(OSRRefH22_7x_0)</f>
        <v>107.7</v>
      </c>
      <c r="I155" s="1"/>
      <c r="J155" s="5">
        <f t="shared" ref="J155:J161" si="57">IF(H$12=0,0,H155/H$12)</f>
        <v>2.2582964874892576E-4</v>
      </c>
      <c r="K155" s="1"/>
      <c r="L155" s="1">
        <f t="shared" ref="L155:L161" si="58">+D155-H155</f>
        <v>429.66</v>
      </c>
      <c r="M155" s="1"/>
      <c r="N155" s="5">
        <f t="shared" ref="N155:N161" si="59">IF(H155=0,0,L155/H155)</f>
        <v>3.9894150417827299</v>
      </c>
      <c r="O155" s="14"/>
      <c r="P155" s="1">
        <f>SUM(OSRRefP22_7x_0)</f>
        <v>537.36</v>
      </c>
      <c r="Q155" s="1"/>
      <c r="R155" s="5">
        <f t="shared" ref="R155:R161" si="60">IF(P$12=0,0,P155/P$12)</f>
        <v>1.065874985654048E-3</v>
      </c>
      <c r="S155" s="1"/>
      <c r="T155" s="1">
        <f>SUM(OSRRefT22_7x_0)</f>
        <v>107.7</v>
      </c>
      <c r="U155" s="1"/>
      <c r="V155" s="5">
        <f t="shared" ref="V155:V161" si="61">IF(T$12=0,0,T155/T$12)</f>
        <v>2.2582964874892576E-4</v>
      </c>
      <c r="W155" s="1"/>
      <c r="X155" s="1">
        <f t="shared" ref="X155:X161" si="62">+P155-T155</f>
        <v>429.66</v>
      </c>
      <c r="Y155" s="1"/>
      <c r="Z155" s="5">
        <f t="shared" ref="Z155:Z161" si="63">IF(T155=0,0,X155/T155)</f>
        <v>3.9894150417827299</v>
      </c>
    </row>
    <row r="156" spans="1:26" s="24" customFormat="1" hidden="1" outlineLevel="2" x14ac:dyDescent="0.3">
      <c r="A156" s="27"/>
      <c r="B156" s="12" t="str">
        <f>CONCATENATE("          ", "6277", " - ", "EMPLOYEE APPRECIATION")</f>
        <v xml:space="preserve">          6277 - EMPLOYEE APPRECIATION</v>
      </c>
      <c r="C156" s="12"/>
      <c r="D156" s="8">
        <v>537.36</v>
      </c>
      <c r="E156" s="3"/>
      <c r="F156" s="7">
        <f t="shared" si="56"/>
        <v>1.065874985654048E-3</v>
      </c>
      <c r="G156" s="3"/>
      <c r="H156" s="8">
        <v>107.7</v>
      </c>
      <c r="I156" s="3"/>
      <c r="J156" s="7">
        <f t="shared" si="57"/>
        <v>2.2582964874892576E-4</v>
      </c>
      <c r="K156" s="3"/>
      <c r="L156" s="8">
        <f t="shared" si="58"/>
        <v>429.66</v>
      </c>
      <c r="M156" s="3"/>
      <c r="N156" s="7">
        <f t="shared" si="59"/>
        <v>3.9894150417827299</v>
      </c>
      <c r="O156" s="12"/>
      <c r="P156" s="8">
        <v>537.36</v>
      </c>
      <c r="Q156" s="3"/>
      <c r="R156" s="7">
        <f t="shared" si="60"/>
        <v>1.065874985654048E-3</v>
      </c>
      <c r="S156" s="3"/>
      <c r="T156" s="8">
        <v>107.7</v>
      </c>
      <c r="U156" s="3"/>
      <c r="V156" s="7">
        <f t="shared" si="61"/>
        <v>2.2582964874892576E-4</v>
      </c>
      <c r="W156" s="3"/>
      <c r="X156" s="8">
        <f t="shared" si="62"/>
        <v>429.66</v>
      </c>
      <c r="Y156" s="3"/>
      <c r="Z156" s="7">
        <f t="shared" si="63"/>
        <v>3.9894150417827299</v>
      </c>
    </row>
    <row r="157" spans="1:26" s="29" customFormat="1" outlineLevel="1" collapsed="1" x14ac:dyDescent="0.3">
      <c r="A157" s="28"/>
      <c r="B157" s="14" t="str">
        <f>CONCATENATE("     ","Equipment Rental                                  ")</f>
        <v xml:space="preserve">     Equipment Rental                                  </v>
      </c>
      <c r="C157" s="14"/>
      <c r="D157" s="1">
        <f>SUM(OSRRefD22_8x_0)</f>
        <v>2713.62</v>
      </c>
      <c r="E157" s="1"/>
      <c r="F157" s="5">
        <f t="shared" si="56"/>
        <v>5.3825734676390827E-3</v>
      </c>
      <c r="G157" s="1"/>
      <c r="H157" s="1">
        <f>SUM(OSRRefH22_8x_0)</f>
        <v>2638.66</v>
      </c>
      <c r="I157" s="1"/>
      <c r="J157" s="5">
        <f t="shared" si="57"/>
        <v>5.5328473627468929E-3</v>
      </c>
      <c r="K157" s="1"/>
      <c r="L157" s="1">
        <f t="shared" si="58"/>
        <v>74.960000000000036</v>
      </c>
      <c r="M157" s="1"/>
      <c r="N157" s="5">
        <f t="shared" si="59"/>
        <v>2.8408358788172799E-2</v>
      </c>
      <c r="O157" s="14"/>
      <c r="P157" s="1">
        <f>SUM(OSRRefP22_8x_0)</f>
        <v>2713.62</v>
      </c>
      <c r="Q157" s="1"/>
      <c r="R157" s="5">
        <f t="shared" si="60"/>
        <v>5.3825734676390827E-3</v>
      </c>
      <c r="S157" s="1"/>
      <c r="T157" s="1">
        <f>SUM(OSRRefT22_8x_0)</f>
        <v>2638.66</v>
      </c>
      <c r="U157" s="1"/>
      <c r="V157" s="5">
        <f t="shared" si="61"/>
        <v>5.5328473627468929E-3</v>
      </c>
      <c r="W157" s="1"/>
      <c r="X157" s="1">
        <f t="shared" si="62"/>
        <v>74.960000000000036</v>
      </c>
      <c r="Y157" s="1"/>
      <c r="Z157" s="5">
        <f t="shared" si="63"/>
        <v>2.8408358788172799E-2</v>
      </c>
    </row>
    <row r="158" spans="1:26" s="24" customFormat="1" hidden="1" outlineLevel="2" x14ac:dyDescent="0.3">
      <c r="A158" s="27"/>
      <c r="B158" s="12" t="str">
        <f>CONCATENATE("          ", "6351", " - ", "EQUIPMENT RENTAL")</f>
        <v xml:space="preserve">          6351 - EQUIPMENT RENTAL</v>
      </c>
      <c r="C158" s="12"/>
      <c r="D158" s="8">
        <v>2713.62</v>
      </c>
      <c r="E158" s="3"/>
      <c r="F158" s="7">
        <f t="shared" si="56"/>
        <v>5.3825734676390827E-3</v>
      </c>
      <c r="G158" s="3"/>
      <c r="H158" s="8">
        <v>2638.66</v>
      </c>
      <c r="I158" s="3"/>
      <c r="J158" s="7">
        <f t="shared" si="57"/>
        <v>5.5328473627468929E-3</v>
      </c>
      <c r="K158" s="3"/>
      <c r="L158" s="8">
        <f t="shared" si="58"/>
        <v>74.960000000000036</v>
      </c>
      <c r="M158" s="3"/>
      <c r="N158" s="7">
        <f t="shared" si="59"/>
        <v>2.8408358788172799E-2</v>
      </c>
      <c r="O158" s="12"/>
      <c r="P158" s="8">
        <v>2713.62</v>
      </c>
      <c r="Q158" s="3"/>
      <c r="R158" s="7">
        <f t="shared" si="60"/>
        <v>5.3825734676390827E-3</v>
      </c>
      <c r="S158" s="3"/>
      <c r="T158" s="8">
        <v>2638.66</v>
      </c>
      <c r="U158" s="3"/>
      <c r="V158" s="7">
        <f t="shared" si="61"/>
        <v>5.5328473627468929E-3</v>
      </c>
      <c r="W158" s="3"/>
      <c r="X158" s="8">
        <f t="shared" si="62"/>
        <v>74.960000000000036</v>
      </c>
      <c r="Y158" s="3"/>
      <c r="Z158" s="7">
        <f t="shared" si="63"/>
        <v>2.8408358788172799E-2</v>
      </c>
    </row>
    <row r="159" spans="1:26" s="29" customFormat="1" outlineLevel="1" collapsed="1" x14ac:dyDescent="0.3">
      <c r="A159" s="28"/>
      <c r="B159" s="14" t="str">
        <f>CONCATENATE("     ","Freight out/Postage                               ")</f>
        <v xml:space="preserve">     Freight out/Postage                               </v>
      </c>
      <c r="C159" s="14"/>
      <c r="D159" s="1">
        <f>SUM(OSRRefD22_9x_0)</f>
        <v>3682.8</v>
      </c>
      <c r="E159" s="1"/>
      <c r="F159" s="5">
        <f t="shared" si="56"/>
        <v>7.3049806408492035E-3</v>
      </c>
      <c r="G159" s="1"/>
      <c r="H159" s="1">
        <f>SUM(OSRRefH22_9x_0)</f>
        <v>8939.26</v>
      </c>
      <c r="I159" s="1"/>
      <c r="J159" s="5">
        <f t="shared" si="57"/>
        <v>1.8744196340532239E-2</v>
      </c>
      <c r="K159" s="1"/>
      <c r="L159" s="1">
        <f t="shared" si="58"/>
        <v>-5256.46</v>
      </c>
      <c r="M159" s="1"/>
      <c r="N159" s="5">
        <f t="shared" si="59"/>
        <v>-0.58801958998843307</v>
      </c>
      <c r="O159" s="14"/>
      <c r="P159" s="1">
        <f>SUM(OSRRefP22_9x_0)</f>
        <v>3682.8</v>
      </c>
      <c r="Q159" s="1"/>
      <c r="R159" s="5">
        <f t="shared" si="60"/>
        <v>7.3049806408492035E-3</v>
      </c>
      <c r="S159" s="1"/>
      <c r="T159" s="1">
        <f>SUM(OSRRefT22_9x_0)</f>
        <v>8939.26</v>
      </c>
      <c r="U159" s="1"/>
      <c r="V159" s="5">
        <f t="shared" si="61"/>
        <v>1.8744196340532239E-2</v>
      </c>
      <c r="W159" s="1"/>
      <c r="X159" s="1">
        <f t="shared" si="62"/>
        <v>-5256.46</v>
      </c>
      <c r="Y159" s="1"/>
      <c r="Z159" s="5">
        <f t="shared" si="63"/>
        <v>-0.58801958998843307</v>
      </c>
    </row>
    <row r="160" spans="1:26" s="24" customFormat="1" hidden="1" outlineLevel="2" x14ac:dyDescent="0.3">
      <c r="A160" s="27"/>
      <c r="B160" s="12" t="str">
        <f>CONCATENATE("          ", "6305", " - ", "FREIGHT OUT")</f>
        <v xml:space="preserve">          6305 - FREIGHT OUT</v>
      </c>
      <c r="C160" s="12"/>
      <c r="D160" s="8">
        <v>10982.69</v>
      </c>
      <c r="E160" s="3"/>
      <c r="F160" s="7">
        <f t="shared" si="56"/>
        <v>2.1784603517554072E-2</v>
      </c>
      <c r="G160" s="3"/>
      <c r="H160" s="8">
        <v>12094.7</v>
      </c>
      <c r="I160" s="3"/>
      <c r="J160" s="7">
        <f t="shared" si="57"/>
        <v>2.5360648586106149E-2</v>
      </c>
      <c r="K160" s="3"/>
      <c r="L160" s="8">
        <f t="shared" si="58"/>
        <v>-1112.0100000000002</v>
      </c>
      <c r="M160" s="3"/>
      <c r="N160" s="7">
        <f t="shared" si="59"/>
        <v>-9.1941924975402461E-2</v>
      </c>
      <c r="O160" s="12"/>
      <c r="P160" s="8">
        <v>10982.69</v>
      </c>
      <c r="Q160" s="3"/>
      <c r="R160" s="7">
        <f t="shared" si="60"/>
        <v>2.1784603517554072E-2</v>
      </c>
      <c r="S160" s="3"/>
      <c r="T160" s="8">
        <v>12094.7</v>
      </c>
      <c r="U160" s="3"/>
      <c r="V160" s="7">
        <f t="shared" si="61"/>
        <v>2.5360648586106149E-2</v>
      </c>
      <c r="W160" s="3"/>
      <c r="X160" s="8">
        <f t="shared" si="62"/>
        <v>-1112.0100000000002</v>
      </c>
      <c r="Y160" s="3"/>
      <c r="Z160" s="7">
        <f t="shared" si="63"/>
        <v>-9.1941924975402461E-2</v>
      </c>
    </row>
    <row r="161" spans="1:26" s="24" customFormat="1" hidden="1" outlineLevel="2" x14ac:dyDescent="0.3">
      <c r="A161" s="27"/>
      <c r="B161" s="12" t="str">
        <f>CONCATENATE("          ", "6307", " - ", "POSTAGE")</f>
        <v xml:space="preserve">          6307 - POSTAGE</v>
      </c>
      <c r="C161" s="12"/>
      <c r="D161" s="8">
        <v>-7299.89</v>
      </c>
      <c r="E161" s="3"/>
      <c r="F161" s="7">
        <f t="shared" si="56"/>
        <v>-1.4479622876704869E-2</v>
      </c>
      <c r="G161" s="3"/>
      <c r="H161" s="8">
        <v>-3155.44</v>
      </c>
      <c r="I161" s="3"/>
      <c r="J161" s="7">
        <f t="shared" si="57"/>
        <v>-6.616452245573912E-3</v>
      </c>
      <c r="K161" s="3"/>
      <c r="L161" s="8">
        <f t="shared" si="58"/>
        <v>-4144.4500000000007</v>
      </c>
      <c r="M161" s="3"/>
      <c r="N161" s="7">
        <f t="shared" si="59"/>
        <v>1.3134301396952566</v>
      </c>
      <c r="O161" s="12"/>
      <c r="P161" s="8">
        <v>-7299.89</v>
      </c>
      <c r="Q161" s="3"/>
      <c r="R161" s="7">
        <f t="shared" si="60"/>
        <v>-1.4479622876704869E-2</v>
      </c>
      <c r="S161" s="3"/>
      <c r="T161" s="8">
        <v>-3155.44</v>
      </c>
      <c r="U161" s="3"/>
      <c r="V161" s="7">
        <f t="shared" si="61"/>
        <v>-6.616452245573912E-3</v>
      </c>
      <c r="W161" s="3"/>
      <c r="X161" s="8">
        <f t="shared" si="62"/>
        <v>-4144.4500000000007</v>
      </c>
      <c r="Y161" s="3"/>
      <c r="Z161" s="7">
        <f t="shared" si="63"/>
        <v>1.3134301396952566</v>
      </c>
    </row>
    <row r="162" spans="1:26" s="29" customFormat="1" outlineLevel="1" collapsed="1" x14ac:dyDescent="0.3">
      <c r="A162" s="28"/>
      <c r="B162" s="14" t="str">
        <f>CONCATENATE("     ","General                                           ")</f>
        <v xml:space="preserve">     General                                           </v>
      </c>
      <c r="C162" s="14"/>
      <c r="D162" s="1">
        <f>SUM(OSRRefD22_10x_0)</f>
        <v>1271.73</v>
      </c>
      <c r="E162" s="1"/>
      <c r="F162" s="5">
        <f t="shared" ref="F162:F170" si="64">IF(D$12=0,0,D162/D$12)</f>
        <v>2.5225271615040615E-3</v>
      </c>
      <c r="G162" s="1"/>
      <c r="H162" s="1">
        <f>SUM(OSRRefH22_10x_0)</f>
        <v>8780.7099999999991</v>
      </c>
      <c r="I162" s="1"/>
      <c r="J162" s="5">
        <f t="shared" ref="J162:J170" si="65">IF(H$12=0,0,H162/H$12)</f>
        <v>1.8411742386872605E-2</v>
      </c>
      <c r="K162" s="1"/>
      <c r="L162" s="1">
        <f t="shared" ref="L162:L170" si="66">+D162-H162</f>
        <v>-7508.98</v>
      </c>
      <c r="M162" s="1"/>
      <c r="N162" s="5">
        <f t="shared" ref="N162:N170" si="67">IF(H162=0,0,L162/H162)</f>
        <v>-0.85516774839392262</v>
      </c>
      <c r="O162" s="14"/>
      <c r="P162" s="1">
        <f>SUM(OSRRefP22_10x_0)</f>
        <v>1271.73</v>
      </c>
      <c r="Q162" s="1"/>
      <c r="R162" s="5">
        <f t="shared" ref="R162:R170" si="68">IF(P$12=0,0,P162/P$12)</f>
        <v>2.5225271615040615E-3</v>
      </c>
      <c r="S162" s="1"/>
      <c r="T162" s="1">
        <f>SUM(OSRRefT22_10x_0)</f>
        <v>8780.7099999999991</v>
      </c>
      <c r="U162" s="1"/>
      <c r="V162" s="5">
        <f t="shared" ref="V162:V170" si="69">IF(T$12=0,0,T162/T$12)</f>
        <v>1.8411742386872605E-2</v>
      </c>
      <c r="W162" s="1"/>
      <c r="X162" s="1">
        <f t="shared" ref="X162:X170" si="70">+P162-T162</f>
        <v>-7508.98</v>
      </c>
      <c r="Y162" s="1"/>
      <c r="Z162" s="5">
        <f t="shared" ref="Z162:Z170" si="71">IF(T162=0,0,X162/T162)</f>
        <v>-0.85516774839392262</v>
      </c>
    </row>
    <row r="163" spans="1:26" s="24" customFormat="1" hidden="1" outlineLevel="2" x14ac:dyDescent="0.3">
      <c r="A163" s="27"/>
      <c r="B163" s="12" t="str">
        <f>CONCATENATE("          ", "6279", " - ", "GENERAL EXPENSE")</f>
        <v xml:space="preserve">          6279 - GENERAL EXPENSE</v>
      </c>
      <c r="C163" s="12"/>
      <c r="D163" s="8">
        <v>1271.73</v>
      </c>
      <c r="E163" s="3"/>
      <c r="F163" s="7">
        <f t="shared" si="64"/>
        <v>2.5225271615040615E-3</v>
      </c>
      <c r="G163" s="3"/>
      <c r="H163" s="8">
        <v>8780.7099999999991</v>
      </c>
      <c r="I163" s="3"/>
      <c r="J163" s="7">
        <f t="shared" si="65"/>
        <v>1.8411742386872605E-2</v>
      </c>
      <c r="K163" s="3"/>
      <c r="L163" s="8">
        <f t="shared" si="66"/>
        <v>-7508.98</v>
      </c>
      <c r="M163" s="3"/>
      <c r="N163" s="7">
        <f t="shared" si="67"/>
        <v>-0.85516774839392262</v>
      </c>
      <c r="O163" s="12"/>
      <c r="P163" s="8">
        <v>1271.73</v>
      </c>
      <c r="Q163" s="3"/>
      <c r="R163" s="7">
        <f t="shared" si="68"/>
        <v>2.5225271615040615E-3</v>
      </c>
      <c r="S163" s="3"/>
      <c r="T163" s="8">
        <v>8780.7099999999991</v>
      </c>
      <c r="U163" s="3"/>
      <c r="V163" s="7">
        <f t="shared" si="69"/>
        <v>1.8411742386872605E-2</v>
      </c>
      <c r="W163" s="3"/>
      <c r="X163" s="8">
        <f t="shared" si="70"/>
        <v>-7508.98</v>
      </c>
      <c r="Y163" s="3"/>
      <c r="Z163" s="7">
        <f t="shared" si="71"/>
        <v>-0.85516774839392262</v>
      </c>
    </row>
    <row r="164" spans="1:26" s="29" customFormat="1" outlineLevel="1" collapsed="1" x14ac:dyDescent="0.3">
      <c r="A164" s="28"/>
      <c r="B164" s="14" t="str">
        <f>CONCATENATE("     ","Insurance                                         ")</f>
        <v xml:space="preserve">     Insurance                                         </v>
      </c>
      <c r="C164" s="14"/>
      <c r="D164" s="1">
        <f>SUM(OSRRefD22_11x_0)</f>
        <v>11626.44</v>
      </c>
      <c r="E164" s="1"/>
      <c r="F164" s="5">
        <f t="shared" si="64"/>
        <v>2.3061507310197356E-2</v>
      </c>
      <c r="G164" s="1"/>
      <c r="H164" s="1">
        <f>SUM(OSRRefH22_11x_0)</f>
        <v>8563.32</v>
      </c>
      <c r="I164" s="1"/>
      <c r="J164" s="5">
        <f t="shared" si="65"/>
        <v>1.7955910378130463E-2</v>
      </c>
      <c r="K164" s="1"/>
      <c r="L164" s="1">
        <f t="shared" si="66"/>
        <v>3063.1200000000008</v>
      </c>
      <c r="M164" s="1"/>
      <c r="N164" s="5">
        <f t="shared" si="67"/>
        <v>0.35770238645758901</v>
      </c>
      <c r="O164" s="14"/>
      <c r="P164" s="1">
        <f>SUM(OSRRefP22_11x_0)</f>
        <v>11626.44</v>
      </c>
      <c r="Q164" s="1"/>
      <c r="R164" s="5">
        <f t="shared" si="68"/>
        <v>2.3061507310197356E-2</v>
      </c>
      <c r="S164" s="1"/>
      <c r="T164" s="1">
        <f>SUM(OSRRefT22_11x_0)</f>
        <v>8563.32</v>
      </c>
      <c r="U164" s="1"/>
      <c r="V164" s="5">
        <f t="shared" si="69"/>
        <v>1.7955910378130463E-2</v>
      </c>
      <c r="W164" s="1"/>
      <c r="X164" s="1">
        <f t="shared" si="70"/>
        <v>3063.1200000000008</v>
      </c>
      <c r="Y164" s="1"/>
      <c r="Z164" s="5">
        <f t="shared" si="71"/>
        <v>0.35770238645758901</v>
      </c>
    </row>
    <row r="165" spans="1:26" s="24" customFormat="1" hidden="1" outlineLevel="2" x14ac:dyDescent="0.3">
      <c r="A165" s="27"/>
      <c r="B165" s="12" t="str">
        <f>CONCATENATE("          ", "6314", " - ", "LIABILITY INSURANCE")</f>
        <v xml:space="preserve">          6314 - LIABILITY INSURANCE</v>
      </c>
      <c r="C165" s="12"/>
      <c r="D165" s="8">
        <v>11626.44</v>
      </c>
      <c r="E165" s="3"/>
      <c r="F165" s="7">
        <f t="shared" si="64"/>
        <v>2.3061507310197356E-2</v>
      </c>
      <c r="G165" s="3"/>
      <c r="H165" s="8">
        <v>8563.32</v>
      </c>
      <c r="I165" s="3"/>
      <c r="J165" s="7">
        <f t="shared" si="65"/>
        <v>1.7955910378130463E-2</v>
      </c>
      <c r="K165" s="3"/>
      <c r="L165" s="8">
        <f t="shared" si="66"/>
        <v>3063.1200000000008</v>
      </c>
      <c r="M165" s="3"/>
      <c r="N165" s="7">
        <f t="shared" si="67"/>
        <v>0.35770238645758901</v>
      </c>
      <c r="O165" s="12"/>
      <c r="P165" s="8">
        <v>11626.44</v>
      </c>
      <c r="Q165" s="3"/>
      <c r="R165" s="7">
        <f t="shared" si="68"/>
        <v>2.3061507310197356E-2</v>
      </c>
      <c r="S165" s="3"/>
      <c r="T165" s="8">
        <v>8563.32</v>
      </c>
      <c r="U165" s="3"/>
      <c r="V165" s="7">
        <f t="shared" si="69"/>
        <v>1.7955910378130463E-2</v>
      </c>
      <c r="W165" s="3"/>
      <c r="X165" s="8">
        <f t="shared" si="70"/>
        <v>3063.1200000000008</v>
      </c>
      <c r="Y165" s="3"/>
      <c r="Z165" s="7">
        <f t="shared" si="71"/>
        <v>0.35770238645758901</v>
      </c>
    </row>
    <row r="166" spans="1:26" s="29" customFormat="1" outlineLevel="1" collapsed="1" x14ac:dyDescent="0.3">
      <c r="A166" s="28"/>
      <c r="B166" s="14" t="str">
        <f>CONCATENATE("     ","Interest                                          ")</f>
        <v xml:space="preserve">     Interest                                          </v>
      </c>
      <c r="C166" s="14"/>
      <c r="D166" s="1">
        <f>SUM(OSRRefD22_12x_0)</f>
        <v>11158</v>
      </c>
      <c r="E166" s="1"/>
      <c r="F166" s="5">
        <f t="shared" si="64"/>
        <v>2.213233789252618E-2</v>
      </c>
      <c r="G166" s="1"/>
      <c r="H166" s="1">
        <f>SUM(OSRRefH22_12x_0)</f>
        <v>11554</v>
      </c>
      <c r="I166" s="1"/>
      <c r="J166" s="5">
        <f t="shared" si="65"/>
        <v>2.4226887294754765E-2</v>
      </c>
      <c r="K166" s="1"/>
      <c r="L166" s="1">
        <f t="shared" si="66"/>
        <v>-396</v>
      </c>
      <c r="M166" s="1"/>
      <c r="N166" s="5">
        <f t="shared" si="67"/>
        <v>-3.4273844555997926E-2</v>
      </c>
      <c r="O166" s="14"/>
      <c r="P166" s="1">
        <f>SUM(OSRRefP22_12x_0)</f>
        <v>11158</v>
      </c>
      <c r="Q166" s="1"/>
      <c r="R166" s="5">
        <f t="shared" si="68"/>
        <v>2.213233789252618E-2</v>
      </c>
      <c r="S166" s="1"/>
      <c r="T166" s="1">
        <f>SUM(OSRRefT22_12x_0)</f>
        <v>11554</v>
      </c>
      <c r="U166" s="1"/>
      <c r="V166" s="5">
        <f t="shared" si="69"/>
        <v>2.4226887294754765E-2</v>
      </c>
      <c r="W166" s="1"/>
      <c r="X166" s="1">
        <f t="shared" si="70"/>
        <v>-396</v>
      </c>
      <c r="Y166" s="1"/>
      <c r="Z166" s="5">
        <f t="shared" si="71"/>
        <v>-3.4273844555997926E-2</v>
      </c>
    </row>
    <row r="167" spans="1:26" s="24" customFormat="1" hidden="1" outlineLevel="2" x14ac:dyDescent="0.3">
      <c r="A167" s="27"/>
      <c r="B167" s="12" t="str">
        <f>CONCATENATE("          ", "6401", " - ", "INTEREST EXPENSE")</f>
        <v xml:space="preserve">          6401 - INTEREST EXPENSE</v>
      </c>
      <c r="C167" s="12"/>
      <c r="D167" s="8">
        <v>11158</v>
      </c>
      <c r="E167" s="3"/>
      <c r="F167" s="7">
        <f t="shared" si="64"/>
        <v>2.213233789252618E-2</v>
      </c>
      <c r="G167" s="3"/>
      <c r="H167" s="8">
        <v>11554</v>
      </c>
      <c r="I167" s="3"/>
      <c r="J167" s="7">
        <f t="shared" si="65"/>
        <v>2.4226887294754765E-2</v>
      </c>
      <c r="K167" s="3"/>
      <c r="L167" s="8">
        <f t="shared" si="66"/>
        <v>-396</v>
      </c>
      <c r="M167" s="3"/>
      <c r="N167" s="7">
        <f t="shared" si="67"/>
        <v>-3.4273844555997926E-2</v>
      </c>
      <c r="O167" s="12"/>
      <c r="P167" s="8">
        <v>11158</v>
      </c>
      <c r="Q167" s="3"/>
      <c r="R167" s="7">
        <f t="shared" si="68"/>
        <v>2.213233789252618E-2</v>
      </c>
      <c r="S167" s="3"/>
      <c r="T167" s="8">
        <v>11554</v>
      </c>
      <c r="U167" s="3"/>
      <c r="V167" s="7">
        <f t="shared" si="69"/>
        <v>2.4226887294754765E-2</v>
      </c>
      <c r="W167" s="3"/>
      <c r="X167" s="8">
        <f t="shared" si="70"/>
        <v>-396</v>
      </c>
      <c r="Y167" s="3"/>
      <c r="Z167" s="7">
        <f t="shared" si="71"/>
        <v>-3.4273844555997926E-2</v>
      </c>
    </row>
    <row r="168" spans="1:26" s="29" customFormat="1" outlineLevel="1" collapsed="1" x14ac:dyDescent="0.3">
      <c r="A168" s="28"/>
      <c r="B168" s="14" t="str">
        <f>CONCATENATE("     ","Inventory Adjustment                              ")</f>
        <v xml:space="preserve">     Inventory Adjustment                              </v>
      </c>
      <c r="C168" s="14"/>
      <c r="D168" s="1">
        <f>SUM(OSRRefD22_13x_0)</f>
        <v>6570</v>
      </c>
      <c r="E168" s="1"/>
      <c r="F168" s="5">
        <f t="shared" si="64"/>
        <v>1.3031856959481718E-2</v>
      </c>
      <c r="G168" s="1"/>
      <c r="H168" s="1">
        <f>SUM(OSRRefH22_13x_0)</f>
        <v>3350</v>
      </c>
      <c r="I168" s="1"/>
      <c r="J168" s="5">
        <f t="shared" si="65"/>
        <v>7.0244134011968546E-3</v>
      </c>
      <c r="K168" s="1"/>
      <c r="L168" s="1">
        <f t="shared" si="66"/>
        <v>3220</v>
      </c>
      <c r="M168" s="1"/>
      <c r="N168" s="5">
        <f t="shared" si="67"/>
        <v>0.96119402985074631</v>
      </c>
      <c r="O168" s="14"/>
      <c r="P168" s="1">
        <f>SUM(OSRRefP22_13x_0)</f>
        <v>6570</v>
      </c>
      <c r="Q168" s="1"/>
      <c r="R168" s="5">
        <f t="shared" si="68"/>
        <v>1.3031856959481718E-2</v>
      </c>
      <c r="S168" s="1"/>
      <c r="T168" s="1">
        <f>SUM(OSRRefT22_13x_0)</f>
        <v>3350</v>
      </c>
      <c r="U168" s="1"/>
      <c r="V168" s="5">
        <f t="shared" si="69"/>
        <v>7.0244134011968546E-3</v>
      </c>
      <c r="W168" s="1"/>
      <c r="X168" s="1">
        <f t="shared" si="70"/>
        <v>3220</v>
      </c>
      <c r="Y168" s="1"/>
      <c r="Z168" s="5">
        <f t="shared" si="71"/>
        <v>0.96119402985074631</v>
      </c>
    </row>
    <row r="169" spans="1:26" s="24" customFormat="1" hidden="1" outlineLevel="2" x14ac:dyDescent="0.3">
      <c r="A169" s="27"/>
      <c r="B169" s="12" t="str">
        <f>CONCATENATE("          ", "6408", " - ", "INVENTORY ADJUSTMENT")</f>
        <v xml:space="preserve">          6408 - INVENTORY ADJUSTMENT</v>
      </c>
      <c r="C169" s="12"/>
      <c r="D169" s="8">
        <v>6570</v>
      </c>
      <c r="E169" s="3"/>
      <c r="F169" s="7">
        <f t="shared" si="64"/>
        <v>1.3031856959481718E-2</v>
      </c>
      <c r="G169" s="3"/>
      <c r="H169" s="8">
        <v>3350</v>
      </c>
      <c r="I169" s="3"/>
      <c r="J169" s="7">
        <f t="shared" si="65"/>
        <v>7.0244134011968546E-3</v>
      </c>
      <c r="K169" s="3"/>
      <c r="L169" s="8">
        <f t="shared" si="66"/>
        <v>3220</v>
      </c>
      <c r="M169" s="3"/>
      <c r="N169" s="7">
        <f t="shared" si="67"/>
        <v>0.96119402985074631</v>
      </c>
      <c r="O169" s="12"/>
      <c r="P169" s="8">
        <v>6570</v>
      </c>
      <c r="Q169" s="3"/>
      <c r="R169" s="7">
        <f t="shared" si="68"/>
        <v>1.3031856959481718E-2</v>
      </c>
      <c r="S169" s="3"/>
      <c r="T169" s="8">
        <v>3350</v>
      </c>
      <c r="U169" s="3"/>
      <c r="V169" s="7">
        <f t="shared" si="69"/>
        <v>7.0244134011968546E-3</v>
      </c>
      <c r="W169" s="3"/>
      <c r="X169" s="8">
        <f t="shared" si="70"/>
        <v>3220</v>
      </c>
      <c r="Y169" s="3"/>
      <c r="Z169" s="7">
        <f t="shared" si="71"/>
        <v>0.96119402985074631</v>
      </c>
    </row>
    <row r="170" spans="1:26" s="24" customFormat="1" hidden="1" outlineLevel="2" x14ac:dyDescent="0.3">
      <c r="A170" s="27"/>
      <c r="B170" s="12" t="str">
        <f>CONCATENATE("          ", "7741", " - ", "INV. SHRINKAGE-LOGO GIFTS")</f>
        <v xml:space="preserve">          7741 - INV. SHRINKAGE-LOGO GIFTS</v>
      </c>
      <c r="C170" s="12"/>
      <c r="D170" s="8"/>
      <c r="E170" s="3"/>
      <c r="F170" s="7">
        <f t="shared" si="64"/>
        <v>0</v>
      </c>
      <c r="G170" s="3"/>
      <c r="H170" s="8">
        <v>0</v>
      </c>
      <c r="I170" s="3"/>
      <c r="J170" s="7">
        <f t="shared" si="65"/>
        <v>0</v>
      </c>
      <c r="K170" s="3"/>
      <c r="L170" s="8">
        <f t="shared" si="66"/>
        <v>0</v>
      </c>
      <c r="M170" s="3"/>
      <c r="N170" s="7">
        <f t="shared" si="67"/>
        <v>0</v>
      </c>
      <c r="O170" s="12"/>
      <c r="P170" s="8"/>
      <c r="Q170" s="3"/>
      <c r="R170" s="7">
        <f t="shared" si="68"/>
        <v>0</v>
      </c>
      <c r="S170" s="3"/>
      <c r="T170" s="8">
        <v>0</v>
      </c>
      <c r="U170" s="3"/>
      <c r="V170" s="7">
        <f t="shared" si="69"/>
        <v>0</v>
      </c>
      <c r="W170" s="3"/>
      <c r="X170" s="8">
        <f t="shared" si="70"/>
        <v>0</v>
      </c>
      <c r="Y170" s="3"/>
      <c r="Z170" s="7">
        <f t="shared" si="71"/>
        <v>0</v>
      </c>
    </row>
    <row r="171" spans="1:26" s="29" customFormat="1" outlineLevel="1" collapsed="1" x14ac:dyDescent="0.3">
      <c r="A171" s="28"/>
      <c r="B171" s="14" t="str">
        <f>CONCATENATE("     ","R/H Commissions                                   ")</f>
        <v xml:space="preserve">     R/H Commissions                                   </v>
      </c>
      <c r="C171" s="14"/>
      <c r="D171" s="1">
        <f>SUM(OSRRefD22_14x_0)</f>
        <v>1568</v>
      </c>
      <c r="E171" s="1"/>
      <c r="F171" s="5">
        <f t="shared" ref="F171:F178" si="72">IF(D$12=0,0,D171/D$12)</f>
        <v>3.1101905194014204E-3</v>
      </c>
      <c r="G171" s="1"/>
      <c r="H171" s="1">
        <f>SUM(OSRRefH22_14x_0)</f>
        <v>1151.68</v>
      </c>
      <c r="I171" s="1"/>
      <c r="J171" s="5">
        <f t="shared" ref="J171:J178" si="73">IF(H$12=0,0,H171/H$12)</f>
        <v>2.4148884853404163E-3</v>
      </c>
      <c r="K171" s="1"/>
      <c r="L171" s="1">
        <f t="shared" ref="L171:L178" si="74">+D171-H171</f>
        <v>416.31999999999994</v>
      </c>
      <c r="M171" s="1"/>
      <c r="N171" s="5">
        <f t="shared" ref="N171:N178" si="75">IF(H171=0,0,L171/H171)</f>
        <v>0.36148930258405104</v>
      </c>
      <c r="O171" s="14"/>
      <c r="P171" s="1">
        <f>SUM(OSRRefP22_14x_0)</f>
        <v>1568</v>
      </c>
      <c r="Q171" s="1"/>
      <c r="R171" s="5">
        <f t="shared" ref="R171:R178" si="76">IF(P$12=0,0,P171/P$12)</f>
        <v>3.1101905194014204E-3</v>
      </c>
      <c r="S171" s="1"/>
      <c r="T171" s="1">
        <f>SUM(OSRRefT22_14x_0)</f>
        <v>1151.68</v>
      </c>
      <c r="U171" s="1"/>
      <c r="V171" s="5">
        <f t="shared" ref="V171:V178" si="77">IF(T$12=0,0,T171/T$12)</f>
        <v>2.4148884853404163E-3</v>
      </c>
      <c r="W171" s="1"/>
      <c r="X171" s="1">
        <f t="shared" ref="X171:X178" si="78">+P171-T171</f>
        <v>416.31999999999994</v>
      </c>
      <c r="Y171" s="1"/>
      <c r="Z171" s="5">
        <f t="shared" ref="Z171:Z178" si="79">IF(T171=0,0,X171/T171)</f>
        <v>0.36148930258405104</v>
      </c>
    </row>
    <row r="172" spans="1:26" s="24" customFormat="1" hidden="1" outlineLevel="2" x14ac:dyDescent="0.3">
      <c r="A172" s="27"/>
      <c r="B172" s="12" t="str">
        <f>CONCATENATE("          ", "6387", " - ", "COMMISSION DUE HOUSING")</f>
        <v xml:space="preserve">          6387 - COMMISSION DUE HOUSING</v>
      </c>
      <c r="C172" s="12"/>
      <c r="D172" s="8">
        <v>1568</v>
      </c>
      <c r="E172" s="3"/>
      <c r="F172" s="7">
        <f t="shared" si="72"/>
        <v>3.1101905194014204E-3</v>
      </c>
      <c r="G172" s="3"/>
      <c r="H172" s="8">
        <v>1151.68</v>
      </c>
      <c r="I172" s="3"/>
      <c r="J172" s="7">
        <f t="shared" si="73"/>
        <v>2.4148884853404163E-3</v>
      </c>
      <c r="K172" s="3"/>
      <c r="L172" s="8">
        <f t="shared" si="74"/>
        <v>416.31999999999994</v>
      </c>
      <c r="M172" s="3"/>
      <c r="N172" s="7">
        <f t="shared" si="75"/>
        <v>0.36148930258405104</v>
      </c>
      <c r="O172" s="12"/>
      <c r="P172" s="8">
        <v>1568</v>
      </c>
      <c r="Q172" s="3"/>
      <c r="R172" s="7">
        <f t="shared" si="76"/>
        <v>3.1101905194014204E-3</v>
      </c>
      <c r="S172" s="3"/>
      <c r="T172" s="8">
        <v>1151.68</v>
      </c>
      <c r="U172" s="3"/>
      <c r="V172" s="7">
        <f t="shared" si="77"/>
        <v>2.4148884853404163E-3</v>
      </c>
      <c r="W172" s="3"/>
      <c r="X172" s="8">
        <f t="shared" si="78"/>
        <v>416.31999999999994</v>
      </c>
      <c r="Y172" s="3"/>
      <c r="Z172" s="7">
        <f t="shared" si="79"/>
        <v>0.36148930258405104</v>
      </c>
    </row>
    <row r="173" spans="1:26" s="29" customFormat="1" outlineLevel="1" collapsed="1" x14ac:dyDescent="0.3">
      <c r="A173" s="28"/>
      <c r="B173" s="14" t="str">
        <f>CONCATENATE("     ","Rent                                              ")</f>
        <v xml:space="preserve">     Rent                                              </v>
      </c>
      <c r="C173" s="14"/>
      <c r="D173" s="1">
        <f>SUM(OSRRefD22_15x_0)</f>
        <v>8750</v>
      </c>
      <c r="E173" s="1"/>
      <c r="F173" s="5">
        <f t="shared" si="72"/>
        <v>1.7355973880588283E-2</v>
      </c>
      <c r="G173" s="1"/>
      <c r="H173" s="1">
        <f>SUM(OSRRefH22_15x_0)</f>
        <v>6900</v>
      </c>
      <c r="I173" s="1"/>
      <c r="J173" s="5">
        <f t="shared" si="73"/>
        <v>1.4468194766644267E-2</v>
      </c>
      <c r="K173" s="1"/>
      <c r="L173" s="1">
        <f t="shared" si="74"/>
        <v>1850</v>
      </c>
      <c r="M173" s="1"/>
      <c r="N173" s="5">
        <f t="shared" si="75"/>
        <v>0.26811594202898553</v>
      </c>
      <c r="O173" s="14"/>
      <c r="P173" s="1">
        <f>SUM(OSRRefP22_15x_0)</f>
        <v>8750</v>
      </c>
      <c r="Q173" s="1"/>
      <c r="R173" s="5">
        <f t="shared" si="76"/>
        <v>1.7355973880588283E-2</v>
      </c>
      <c r="S173" s="1"/>
      <c r="T173" s="1">
        <f>SUM(OSRRefT22_15x_0)</f>
        <v>6900</v>
      </c>
      <c r="U173" s="1"/>
      <c r="V173" s="5">
        <f t="shared" si="77"/>
        <v>1.4468194766644267E-2</v>
      </c>
      <c r="W173" s="1"/>
      <c r="X173" s="1">
        <f t="shared" si="78"/>
        <v>1850</v>
      </c>
      <c r="Y173" s="1"/>
      <c r="Z173" s="5">
        <f t="shared" si="79"/>
        <v>0.26811594202898553</v>
      </c>
    </row>
    <row r="174" spans="1:26" s="24" customFormat="1" hidden="1" outlineLevel="2" x14ac:dyDescent="0.3">
      <c r="A174" s="27"/>
      <c r="B174" s="12" t="str">
        <f>CONCATENATE("          ", "6273", " - ", "RENT")</f>
        <v xml:space="preserve">          6273 - RENT</v>
      </c>
      <c r="C174" s="12"/>
      <c r="D174" s="8">
        <v>8750</v>
      </c>
      <c r="E174" s="3"/>
      <c r="F174" s="7">
        <f t="shared" si="72"/>
        <v>1.7355973880588283E-2</v>
      </c>
      <c r="G174" s="3"/>
      <c r="H174" s="8">
        <v>6900</v>
      </c>
      <c r="I174" s="3"/>
      <c r="J174" s="7">
        <f t="shared" si="73"/>
        <v>1.4468194766644267E-2</v>
      </c>
      <c r="K174" s="3"/>
      <c r="L174" s="8">
        <f t="shared" si="74"/>
        <v>1850</v>
      </c>
      <c r="M174" s="3"/>
      <c r="N174" s="7">
        <f t="shared" si="75"/>
        <v>0.26811594202898553</v>
      </c>
      <c r="O174" s="12"/>
      <c r="P174" s="8">
        <v>8750</v>
      </c>
      <c r="Q174" s="3"/>
      <c r="R174" s="7">
        <f t="shared" si="76"/>
        <v>1.7355973880588283E-2</v>
      </c>
      <c r="S174" s="3"/>
      <c r="T174" s="8">
        <v>6900</v>
      </c>
      <c r="U174" s="3"/>
      <c r="V174" s="7">
        <f t="shared" si="77"/>
        <v>1.4468194766644267E-2</v>
      </c>
      <c r="W174" s="3"/>
      <c r="X174" s="8">
        <f t="shared" si="78"/>
        <v>1850</v>
      </c>
      <c r="Y174" s="3"/>
      <c r="Z174" s="7">
        <f t="shared" si="79"/>
        <v>0.26811594202898553</v>
      </c>
    </row>
    <row r="175" spans="1:26" s="29" customFormat="1" outlineLevel="1" collapsed="1" x14ac:dyDescent="0.3">
      <c r="A175" s="28"/>
      <c r="B175" s="14" t="str">
        <f>CONCATENATE("     ","Repair and Maintenance                            ")</f>
        <v xml:space="preserve">     Repair and Maintenance                            </v>
      </c>
      <c r="C175" s="14"/>
      <c r="D175" s="1">
        <f>SUM(OSRRefD22_16x_0)</f>
        <v>194024.06</v>
      </c>
      <c r="E175" s="1"/>
      <c r="F175" s="5">
        <f t="shared" si="72"/>
        <v>0.38485445915036504</v>
      </c>
      <c r="G175" s="1"/>
      <c r="H175" s="1">
        <f>SUM(OSRRefH22_16x_0)</f>
        <v>70573.83</v>
      </c>
      <c r="I175" s="1"/>
      <c r="J175" s="5">
        <f t="shared" si="73"/>
        <v>0.14798201708232497</v>
      </c>
      <c r="K175" s="1"/>
      <c r="L175" s="1">
        <f t="shared" si="74"/>
        <v>123450.23</v>
      </c>
      <c r="M175" s="1"/>
      <c r="N175" s="5">
        <f t="shared" si="75"/>
        <v>1.7492352335136125</v>
      </c>
      <c r="O175" s="14"/>
      <c r="P175" s="1">
        <f>SUM(OSRRefP22_16x_0)</f>
        <v>194024.06</v>
      </c>
      <c r="Q175" s="1"/>
      <c r="R175" s="5">
        <f t="shared" si="76"/>
        <v>0.38485445915036504</v>
      </c>
      <c r="S175" s="1"/>
      <c r="T175" s="1">
        <f>SUM(OSRRefT22_16x_0)</f>
        <v>70573.83</v>
      </c>
      <c r="U175" s="1"/>
      <c r="V175" s="5">
        <f t="shared" si="77"/>
        <v>0.14798201708232497</v>
      </c>
      <c r="W175" s="1"/>
      <c r="X175" s="1">
        <f t="shared" si="78"/>
        <v>123450.23</v>
      </c>
      <c r="Y175" s="1"/>
      <c r="Z175" s="5">
        <f t="shared" si="79"/>
        <v>1.7492352335136125</v>
      </c>
    </row>
    <row r="176" spans="1:26" s="24" customFormat="1" hidden="1" outlineLevel="2" x14ac:dyDescent="0.3">
      <c r="A176" s="27"/>
      <c r="B176" s="12" t="str">
        <f>CONCATENATE("          ", "6371", " - ", "COMPUTER SOFTWARE MAINTENANCE")</f>
        <v xml:space="preserve">          6371 - COMPUTER SOFTWARE MAINTENANCE</v>
      </c>
      <c r="C176" s="12"/>
      <c r="D176" s="8">
        <v>63123.5</v>
      </c>
      <c r="E176" s="3"/>
      <c r="F176" s="7">
        <f t="shared" si="72"/>
        <v>0.12520797911443596</v>
      </c>
      <c r="G176" s="3"/>
      <c r="H176" s="8">
        <v>58428.78</v>
      </c>
      <c r="I176" s="3"/>
      <c r="J176" s="7">
        <f t="shared" si="73"/>
        <v>0.12251579261121874</v>
      </c>
      <c r="K176" s="3"/>
      <c r="L176" s="8">
        <f t="shared" si="74"/>
        <v>4694.7200000000012</v>
      </c>
      <c r="M176" s="3"/>
      <c r="N176" s="7">
        <f t="shared" si="75"/>
        <v>8.0349444229367809E-2</v>
      </c>
      <c r="O176" s="12"/>
      <c r="P176" s="8">
        <v>63123.5</v>
      </c>
      <c r="Q176" s="3"/>
      <c r="R176" s="7">
        <f t="shared" si="76"/>
        <v>0.12520797911443596</v>
      </c>
      <c r="S176" s="3"/>
      <c r="T176" s="8">
        <v>58428.78</v>
      </c>
      <c r="U176" s="3"/>
      <c r="V176" s="7">
        <f t="shared" si="77"/>
        <v>0.12251579261121874</v>
      </c>
      <c r="W176" s="3"/>
      <c r="X176" s="8">
        <f t="shared" si="78"/>
        <v>4694.7200000000012</v>
      </c>
      <c r="Y176" s="3"/>
      <c r="Z176" s="7">
        <f t="shared" si="79"/>
        <v>8.0349444229367809E-2</v>
      </c>
    </row>
    <row r="177" spans="1:26" s="24" customFormat="1" hidden="1" outlineLevel="2" x14ac:dyDescent="0.3">
      <c r="A177" s="27"/>
      <c r="B177" s="12" t="str">
        <f>CONCATENATE("          ", "6373", " - ", "MAINTENANCE CONTRACTS")</f>
        <v xml:space="preserve">          6373 - MAINTENANCE CONTRACTS</v>
      </c>
      <c r="C177" s="12"/>
      <c r="D177" s="8">
        <v>122670.12</v>
      </c>
      <c r="E177" s="3"/>
      <c r="F177" s="7">
        <f t="shared" si="72"/>
        <v>0.24332107413127205</v>
      </c>
      <c r="G177" s="3"/>
      <c r="H177" s="8">
        <v>8771.25</v>
      </c>
      <c r="I177" s="3"/>
      <c r="J177" s="7">
        <f t="shared" si="73"/>
        <v>1.8391906282163556E-2</v>
      </c>
      <c r="K177" s="3"/>
      <c r="L177" s="8">
        <f t="shared" si="74"/>
        <v>113898.87</v>
      </c>
      <c r="M177" s="3"/>
      <c r="N177" s="7">
        <f t="shared" si="75"/>
        <v>12.985477554510474</v>
      </c>
      <c r="O177" s="12"/>
      <c r="P177" s="8">
        <v>122670.12</v>
      </c>
      <c r="Q177" s="3"/>
      <c r="R177" s="7">
        <f t="shared" si="76"/>
        <v>0.24332107413127205</v>
      </c>
      <c r="S177" s="3"/>
      <c r="T177" s="8">
        <v>8771.25</v>
      </c>
      <c r="U177" s="3"/>
      <c r="V177" s="7">
        <f t="shared" si="77"/>
        <v>1.8391906282163556E-2</v>
      </c>
      <c r="W177" s="3"/>
      <c r="X177" s="8">
        <f t="shared" si="78"/>
        <v>113898.87</v>
      </c>
      <c r="Y177" s="3"/>
      <c r="Z177" s="7">
        <f t="shared" si="79"/>
        <v>12.985477554510474</v>
      </c>
    </row>
    <row r="178" spans="1:26" s="24" customFormat="1" hidden="1" outlineLevel="2" x14ac:dyDescent="0.3">
      <c r="A178" s="27"/>
      <c r="B178" s="12" t="str">
        <f>CONCATENATE("          ", "6375", " - ", "OUTSIDE REPAIRS &amp; MAINTENANCE")</f>
        <v xml:space="preserve">          6375 - OUTSIDE REPAIRS &amp; MAINTENANCE</v>
      </c>
      <c r="C178" s="12"/>
      <c r="D178" s="8">
        <v>8230.44</v>
      </c>
      <c r="E178" s="3"/>
      <c r="F178" s="7">
        <f t="shared" si="72"/>
        <v>1.6325405904657034E-2</v>
      </c>
      <c r="G178" s="3"/>
      <c r="H178" s="8">
        <v>3373.8</v>
      </c>
      <c r="I178" s="3"/>
      <c r="J178" s="7">
        <f t="shared" si="73"/>
        <v>7.0743181889426719E-3</v>
      </c>
      <c r="K178" s="3"/>
      <c r="L178" s="8">
        <f t="shared" si="74"/>
        <v>4856.6400000000003</v>
      </c>
      <c r="M178" s="3"/>
      <c r="N178" s="7">
        <f t="shared" si="75"/>
        <v>1.4395162724524275</v>
      </c>
      <c r="O178" s="12"/>
      <c r="P178" s="8">
        <v>8230.44</v>
      </c>
      <c r="Q178" s="3"/>
      <c r="R178" s="7">
        <f t="shared" si="76"/>
        <v>1.6325405904657034E-2</v>
      </c>
      <c r="S178" s="3"/>
      <c r="T178" s="8">
        <v>3373.8</v>
      </c>
      <c r="U178" s="3"/>
      <c r="V178" s="7">
        <f t="shared" si="77"/>
        <v>7.0743181889426719E-3</v>
      </c>
      <c r="W178" s="3"/>
      <c r="X178" s="8">
        <f t="shared" si="78"/>
        <v>4856.6400000000003</v>
      </c>
      <c r="Y178" s="3"/>
      <c r="Z178" s="7">
        <f t="shared" si="79"/>
        <v>1.4395162724524275</v>
      </c>
    </row>
    <row r="179" spans="1:26" s="29" customFormat="1" outlineLevel="1" collapsed="1" x14ac:dyDescent="0.3">
      <c r="A179" s="28"/>
      <c r="B179" s="14" t="str">
        <f>CONCATENATE("     ","Royalty &amp; Commissions                             ")</f>
        <v xml:space="preserve">     Royalty &amp; Commissions                             </v>
      </c>
      <c r="C179" s="14"/>
      <c r="D179" s="1">
        <f>SUM(OSRRefD22_17x_0)</f>
        <v>7355.1000000000013</v>
      </c>
      <c r="E179" s="1"/>
      <c r="F179" s="5">
        <f t="shared" ref="F179:F182" si="80">IF(D$12=0,0,D179/D$12)</f>
        <v>1.4589134113041703E-2</v>
      </c>
      <c r="G179" s="1"/>
      <c r="H179" s="1">
        <f>SUM(OSRRefH22_17x_0)</f>
        <v>10989.75</v>
      </c>
      <c r="I179" s="1"/>
      <c r="J179" s="5">
        <f t="shared" ref="J179:J182" si="81">IF(H$12=0,0,H179/H$12)</f>
        <v>2.3043745425612876E-2</v>
      </c>
      <c r="K179" s="1"/>
      <c r="L179" s="1">
        <f t="shared" ref="L179:L182" si="82">+D179-H179</f>
        <v>-3634.6499999999987</v>
      </c>
      <c r="M179" s="1"/>
      <c r="N179" s="5">
        <f t="shared" ref="N179:N182" si="83">IF(H179=0,0,L179/H179)</f>
        <v>-0.33073090834641361</v>
      </c>
      <c r="O179" s="14"/>
      <c r="P179" s="1">
        <f>SUM(OSRRefP22_17x_0)</f>
        <v>7355.1000000000013</v>
      </c>
      <c r="Q179" s="1"/>
      <c r="R179" s="5">
        <f t="shared" ref="R179:R182" si="84">IF(P$12=0,0,P179/P$12)</f>
        <v>1.4589134113041703E-2</v>
      </c>
      <c r="S179" s="1"/>
      <c r="T179" s="1">
        <f>SUM(OSRRefT22_17x_0)</f>
        <v>10989.75</v>
      </c>
      <c r="U179" s="1"/>
      <c r="V179" s="5">
        <f t="shared" ref="V179:V182" si="85">IF(T$12=0,0,T179/T$12)</f>
        <v>2.3043745425612876E-2</v>
      </c>
      <c r="W179" s="1"/>
      <c r="X179" s="1">
        <f t="shared" ref="X179:X182" si="86">+P179-T179</f>
        <v>-3634.6499999999987</v>
      </c>
      <c r="Y179" s="1"/>
      <c r="Z179" s="5">
        <f t="shared" ref="Z179:Z182" si="87">IF(T179=0,0,X179/T179)</f>
        <v>-0.33073090834641361</v>
      </c>
    </row>
    <row r="180" spans="1:26" s="24" customFormat="1" hidden="1" outlineLevel="2" x14ac:dyDescent="0.3">
      <c r="A180" s="27"/>
      <c r="B180" s="12" t="str">
        <f>CONCATENATE("          ", "6253", " - ", "ROYALTY DUE ATHLETICS-LRG")</f>
        <v xml:space="preserve">          6253 - ROYALTY DUE ATHLETICS-LRG</v>
      </c>
      <c r="C180" s="12"/>
      <c r="D180" s="8">
        <v>14376.54</v>
      </c>
      <c r="E180" s="3"/>
      <c r="F180" s="7">
        <f t="shared" si="80"/>
        <v>2.851644031236945E-2</v>
      </c>
      <c r="G180" s="3"/>
      <c r="H180" s="8">
        <v>5672.2</v>
      </c>
      <c r="I180" s="3"/>
      <c r="J180" s="7">
        <f t="shared" si="81"/>
        <v>1.189369483411009E-2</v>
      </c>
      <c r="K180" s="3"/>
      <c r="L180" s="8">
        <f t="shared" si="82"/>
        <v>8704.34</v>
      </c>
      <c r="M180" s="3"/>
      <c r="N180" s="7">
        <f t="shared" si="83"/>
        <v>1.5345615457847044</v>
      </c>
      <c r="O180" s="12"/>
      <c r="P180" s="8">
        <v>14376.54</v>
      </c>
      <c r="Q180" s="3"/>
      <c r="R180" s="7">
        <f t="shared" si="84"/>
        <v>2.851644031236945E-2</v>
      </c>
      <c r="S180" s="3"/>
      <c r="T180" s="8">
        <v>5672.2</v>
      </c>
      <c r="U180" s="3"/>
      <c r="V180" s="7">
        <f t="shared" si="85"/>
        <v>1.189369483411009E-2</v>
      </c>
      <c r="W180" s="3"/>
      <c r="X180" s="8">
        <f t="shared" si="86"/>
        <v>8704.34</v>
      </c>
      <c r="Y180" s="3"/>
      <c r="Z180" s="7">
        <f t="shared" si="87"/>
        <v>1.5345615457847044</v>
      </c>
    </row>
    <row r="181" spans="1:26" s="24" customFormat="1" hidden="1" outlineLevel="2" x14ac:dyDescent="0.3">
      <c r="A181" s="27"/>
      <c r="B181" s="12" t="str">
        <f>CONCATENATE("          ", "6254", " - ", "ROYALTY &amp; COMMISSIONS")</f>
        <v xml:space="preserve">          6254 - ROYALTY &amp; COMMISSIONS</v>
      </c>
      <c r="C181" s="12"/>
      <c r="D181" s="8">
        <v>-7027.5</v>
      </c>
      <c r="E181" s="3"/>
      <c r="F181" s="7">
        <f t="shared" si="80"/>
        <v>-1.3939326450952475E-2</v>
      </c>
      <c r="G181" s="3"/>
      <c r="H181" s="8"/>
      <c r="I181" s="3"/>
      <c r="J181" s="7">
        <f t="shared" si="81"/>
        <v>0</v>
      </c>
      <c r="K181" s="3"/>
      <c r="L181" s="8">
        <f t="shared" si="82"/>
        <v>-7027.5</v>
      </c>
      <c r="M181" s="3"/>
      <c r="N181" s="7">
        <f t="shared" si="83"/>
        <v>0</v>
      </c>
      <c r="O181" s="12"/>
      <c r="P181" s="8">
        <v>-7027.5</v>
      </c>
      <c r="Q181" s="3"/>
      <c r="R181" s="7">
        <f t="shared" si="84"/>
        <v>-1.3939326450952475E-2</v>
      </c>
      <c r="S181" s="3"/>
      <c r="T181" s="8"/>
      <c r="U181" s="3"/>
      <c r="V181" s="7">
        <f t="shared" si="85"/>
        <v>0</v>
      </c>
      <c r="W181" s="3"/>
      <c r="X181" s="8">
        <f t="shared" si="86"/>
        <v>-7027.5</v>
      </c>
      <c r="Y181" s="3"/>
      <c r="Z181" s="7">
        <f t="shared" si="87"/>
        <v>0</v>
      </c>
    </row>
    <row r="182" spans="1:26" s="24" customFormat="1" hidden="1" outlineLevel="2" x14ac:dyDescent="0.3">
      <c r="A182" s="27"/>
      <c r="B182" s="12" t="str">
        <f>CONCATENATE("          ", "6259", " - ", "ROYALTY &amp; COMMISSIONS")</f>
        <v xml:space="preserve">          6259 - ROYALTY &amp; COMMISSIONS</v>
      </c>
      <c r="C182" s="12"/>
      <c r="D182" s="8">
        <v>6.06</v>
      </c>
      <c r="E182" s="3"/>
      <c r="F182" s="7">
        <f t="shared" si="80"/>
        <v>1.2020251624727427E-5</v>
      </c>
      <c r="G182" s="3"/>
      <c r="H182" s="8">
        <v>5317.55</v>
      </c>
      <c r="I182" s="3"/>
      <c r="J182" s="7">
        <f t="shared" si="81"/>
        <v>1.1150050591502788E-2</v>
      </c>
      <c r="K182" s="3"/>
      <c r="L182" s="8">
        <f t="shared" si="82"/>
        <v>-5311.49</v>
      </c>
      <c r="M182" s="3"/>
      <c r="N182" s="7">
        <f t="shared" si="83"/>
        <v>-0.99886037742945522</v>
      </c>
      <c r="O182" s="12"/>
      <c r="P182" s="8">
        <v>6.06</v>
      </c>
      <c r="Q182" s="3"/>
      <c r="R182" s="7">
        <f t="shared" si="84"/>
        <v>1.2020251624727427E-5</v>
      </c>
      <c r="S182" s="3"/>
      <c r="T182" s="8">
        <v>5317.55</v>
      </c>
      <c r="U182" s="3"/>
      <c r="V182" s="7">
        <f t="shared" si="85"/>
        <v>1.1150050591502788E-2</v>
      </c>
      <c r="W182" s="3"/>
      <c r="X182" s="8">
        <f t="shared" si="86"/>
        <v>-5311.49</v>
      </c>
      <c r="Y182" s="3"/>
      <c r="Z182" s="7">
        <f t="shared" si="87"/>
        <v>-0.99886037742945522</v>
      </c>
    </row>
    <row r="183" spans="1:26" s="29" customFormat="1" outlineLevel="1" collapsed="1" x14ac:dyDescent="0.3">
      <c r="A183" s="28"/>
      <c r="B183" s="14" t="str">
        <f>CONCATENATE("     ","Services                                          ")</f>
        <v xml:space="preserve">     Services                                          </v>
      </c>
      <c r="C183" s="14"/>
      <c r="D183" s="1">
        <f>SUM(OSRRefD22_18x_0)</f>
        <v>21826.320000000003</v>
      </c>
      <c r="E183" s="1"/>
      <c r="F183" s="5">
        <f t="shared" ref="F183:F188" si="88">IF(D$12=0,0,D183/D$12)</f>
        <v>4.3293375980498483E-2</v>
      </c>
      <c r="G183" s="1"/>
      <c r="H183" s="1">
        <f>SUM(OSRRefH22_18x_0)</f>
        <v>15839.01</v>
      </c>
      <c r="I183" s="1"/>
      <c r="J183" s="5">
        <f t="shared" ref="J183:J188" si="89">IF(H$12=0,0,H183/H$12)</f>
        <v>3.3211866897221193E-2</v>
      </c>
      <c r="K183" s="1"/>
      <c r="L183" s="1">
        <f t="shared" ref="L183:L188" si="90">+D183-H183</f>
        <v>5987.3100000000031</v>
      </c>
      <c r="M183" s="1"/>
      <c r="N183" s="5">
        <f t="shared" ref="N183:N188" si="91">IF(H183=0,0,L183/H183)</f>
        <v>0.37801036807224714</v>
      </c>
      <c r="O183" s="14"/>
      <c r="P183" s="1">
        <f>SUM(OSRRefP22_18x_0)</f>
        <v>21826.320000000003</v>
      </c>
      <c r="Q183" s="1"/>
      <c r="R183" s="5">
        <f t="shared" ref="R183:R188" si="92">IF(P$12=0,0,P183/P$12)</f>
        <v>4.3293375980498483E-2</v>
      </c>
      <c r="S183" s="1"/>
      <c r="T183" s="1">
        <f>SUM(OSRRefT22_18x_0)</f>
        <v>15839.01</v>
      </c>
      <c r="U183" s="1"/>
      <c r="V183" s="5">
        <f t="shared" ref="V183:V188" si="93">IF(T$12=0,0,T183/T$12)</f>
        <v>3.3211866897221193E-2</v>
      </c>
      <c r="W183" s="1"/>
      <c r="X183" s="1">
        <f t="shared" ref="X183:X188" si="94">+P183-T183</f>
        <v>5987.3100000000031</v>
      </c>
      <c r="Y183" s="1"/>
      <c r="Z183" s="5">
        <f t="shared" ref="Z183:Z188" si="95">IF(T183=0,0,X183/T183)</f>
        <v>0.37801036807224714</v>
      </c>
    </row>
    <row r="184" spans="1:26" s="24" customFormat="1" hidden="1" outlineLevel="2" x14ac:dyDescent="0.3">
      <c r="A184" s="27"/>
      <c r="B184" s="12" t="str">
        <f>CONCATENATE("          ", "6282", " - ", "JANITORIAL/EXTERMINATOR EXPENS")</f>
        <v xml:space="preserve">          6282 - JANITORIAL/EXTERMINATOR EXPENS</v>
      </c>
      <c r="C184" s="12"/>
      <c r="D184" s="8">
        <v>2330.4499999999998</v>
      </c>
      <c r="E184" s="3"/>
      <c r="F184" s="7">
        <f t="shared" si="88"/>
        <v>4.6225404948590813E-3</v>
      </c>
      <c r="G184" s="3"/>
      <c r="H184" s="8">
        <v>1644.8</v>
      </c>
      <c r="I184" s="3"/>
      <c r="J184" s="7">
        <f t="shared" si="89"/>
        <v>3.4488821379965928E-3</v>
      </c>
      <c r="K184" s="3"/>
      <c r="L184" s="8">
        <f t="shared" si="90"/>
        <v>685.64999999999986</v>
      </c>
      <c r="M184" s="3"/>
      <c r="N184" s="7">
        <f t="shared" si="91"/>
        <v>0.41685919260700383</v>
      </c>
      <c r="O184" s="12"/>
      <c r="P184" s="8">
        <v>2330.4499999999998</v>
      </c>
      <c r="Q184" s="3"/>
      <c r="R184" s="7">
        <f t="shared" si="92"/>
        <v>4.6225404948590813E-3</v>
      </c>
      <c r="S184" s="3"/>
      <c r="T184" s="8">
        <v>1644.8</v>
      </c>
      <c r="U184" s="3"/>
      <c r="V184" s="7">
        <f t="shared" si="93"/>
        <v>3.4488821379965928E-3</v>
      </c>
      <c r="W184" s="3"/>
      <c r="X184" s="8">
        <f t="shared" si="94"/>
        <v>685.64999999999986</v>
      </c>
      <c r="Y184" s="3"/>
      <c r="Z184" s="7">
        <f t="shared" si="95"/>
        <v>0.41685919260700383</v>
      </c>
    </row>
    <row r="185" spans="1:26" s="24" customFormat="1" hidden="1" outlineLevel="2" x14ac:dyDescent="0.3">
      <c r="A185" s="27"/>
      <c r="B185" s="12" t="str">
        <f>CONCATENATE("          ", "6283", " - ", "PLANT SERVICE")</f>
        <v xml:space="preserve">          6283 - PLANT SERVICE</v>
      </c>
      <c r="C185" s="12"/>
      <c r="D185" s="8"/>
      <c r="E185" s="3"/>
      <c r="F185" s="7">
        <f t="shared" si="88"/>
        <v>0</v>
      </c>
      <c r="G185" s="3"/>
      <c r="H185" s="8">
        <v>130</v>
      </c>
      <c r="I185" s="3"/>
      <c r="J185" s="7">
        <f t="shared" si="89"/>
        <v>2.7258917676286303E-4</v>
      </c>
      <c r="K185" s="3"/>
      <c r="L185" s="8">
        <f t="shared" si="90"/>
        <v>-130</v>
      </c>
      <c r="M185" s="3"/>
      <c r="N185" s="7">
        <f t="shared" si="91"/>
        <v>-1</v>
      </c>
      <c r="O185" s="12"/>
      <c r="P185" s="8"/>
      <c r="Q185" s="3"/>
      <c r="R185" s="7">
        <f t="shared" si="92"/>
        <v>0</v>
      </c>
      <c r="S185" s="3"/>
      <c r="T185" s="8">
        <v>130</v>
      </c>
      <c r="U185" s="3"/>
      <c r="V185" s="7">
        <f t="shared" si="93"/>
        <v>2.7258917676286303E-4</v>
      </c>
      <c r="W185" s="3"/>
      <c r="X185" s="8">
        <f t="shared" si="94"/>
        <v>-130</v>
      </c>
      <c r="Y185" s="3"/>
      <c r="Z185" s="7">
        <f t="shared" si="95"/>
        <v>-1</v>
      </c>
    </row>
    <row r="186" spans="1:26" s="24" customFormat="1" hidden="1" outlineLevel="2" x14ac:dyDescent="0.3">
      <c r="A186" s="27"/>
      <c r="B186" s="12" t="str">
        <f>CONCATENATE("          ", "6284", " - ", "TRASH REMOVAL EXPENSE")</f>
        <v xml:space="preserve">          6284 - TRASH REMOVAL EXPENSE</v>
      </c>
      <c r="C186" s="12"/>
      <c r="D186" s="8">
        <v>142.57</v>
      </c>
      <c r="E186" s="3"/>
      <c r="F186" s="7">
        <f t="shared" si="88"/>
        <v>2.8279327956062529E-4</v>
      </c>
      <c r="G186" s="3"/>
      <c r="H186" s="8">
        <v>1142.57</v>
      </c>
      <c r="I186" s="3"/>
      <c r="J186" s="7">
        <f t="shared" si="89"/>
        <v>2.395786274568803E-3</v>
      </c>
      <c r="K186" s="3"/>
      <c r="L186" s="8">
        <f t="shared" si="90"/>
        <v>-1000</v>
      </c>
      <c r="M186" s="3"/>
      <c r="N186" s="7">
        <f t="shared" si="91"/>
        <v>-0.87521989899962371</v>
      </c>
      <c r="O186" s="12"/>
      <c r="P186" s="8">
        <v>142.57</v>
      </c>
      <c r="Q186" s="3"/>
      <c r="R186" s="7">
        <f t="shared" si="92"/>
        <v>2.8279327956062529E-4</v>
      </c>
      <c r="S186" s="3"/>
      <c r="T186" s="8">
        <v>1142.57</v>
      </c>
      <c r="U186" s="3"/>
      <c r="V186" s="7">
        <f t="shared" si="93"/>
        <v>2.395786274568803E-3</v>
      </c>
      <c r="W186" s="3"/>
      <c r="X186" s="8">
        <f t="shared" si="94"/>
        <v>-1000</v>
      </c>
      <c r="Y186" s="3"/>
      <c r="Z186" s="7">
        <f t="shared" si="95"/>
        <v>-0.87521989899962371</v>
      </c>
    </row>
    <row r="187" spans="1:26" s="24" customFormat="1" hidden="1" outlineLevel="2" x14ac:dyDescent="0.3">
      <c r="A187" s="27"/>
      <c r="B187" s="12" t="str">
        <f>CONCATENATE("          ", "6285", " - ", "JANITORIAL SERVICES")</f>
        <v xml:space="preserve">          6285 - JANITORIAL SERVICES</v>
      </c>
      <c r="C187" s="12"/>
      <c r="D187" s="8">
        <v>18270.330000000002</v>
      </c>
      <c r="E187" s="3"/>
      <c r="F187" s="7">
        <f t="shared" si="88"/>
        <v>3.6239928030826124E-2</v>
      </c>
      <c r="G187" s="3"/>
      <c r="H187" s="8">
        <v>10984.17</v>
      </c>
      <c r="I187" s="3"/>
      <c r="J187" s="7">
        <f t="shared" si="89"/>
        <v>2.3032045059410287E-2</v>
      </c>
      <c r="K187" s="3"/>
      <c r="L187" s="8">
        <f t="shared" si="90"/>
        <v>7286.1600000000017</v>
      </c>
      <c r="M187" s="3"/>
      <c r="N187" s="7">
        <f t="shared" si="91"/>
        <v>0.66333277798868751</v>
      </c>
      <c r="O187" s="12"/>
      <c r="P187" s="8">
        <v>18270.330000000002</v>
      </c>
      <c r="Q187" s="3"/>
      <c r="R187" s="7">
        <f t="shared" si="92"/>
        <v>3.6239928030826124E-2</v>
      </c>
      <c r="S187" s="3"/>
      <c r="T187" s="8">
        <v>10984.17</v>
      </c>
      <c r="U187" s="3"/>
      <c r="V187" s="7">
        <f t="shared" si="93"/>
        <v>2.3032045059410287E-2</v>
      </c>
      <c r="W187" s="3"/>
      <c r="X187" s="8">
        <f t="shared" si="94"/>
        <v>7286.1600000000017</v>
      </c>
      <c r="Y187" s="3"/>
      <c r="Z187" s="7">
        <f t="shared" si="95"/>
        <v>0.66333277798868751</v>
      </c>
    </row>
    <row r="188" spans="1:26" s="24" customFormat="1" hidden="1" outlineLevel="2" x14ac:dyDescent="0.3">
      <c r="A188" s="27"/>
      <c r="B188" s="12" t="str">
        <f>CONCATENATE("          ", "6286", " - ", "LAUNDRY EXPENSE")</f>
        <v xml:space="preserve">          6286 - LAUNDRY EXPENSE</v>
      </c>
      <c r="C188" s="12"/>
      <c r="D188" s="8">
        <v>1082.97</v>
      </c>
      <c r="E188" s="3"/>
      <c r="F188" s="7">
        <f t="shared" si="88"/>
        <v>2.1481141752526509E-3</v>
      </c>
      <c r="G188" s="3"/>
      <c r="H188" s="8">
        <v>1937.47</v>
      </c>
      <c r="I188" s="3"/>
      <c r="J188" s="7">
        <f t="shared" si="89"/>
        <v>4.0625642484826479E-3</v>
      </c>
      <c r="K188" s="3"/>
      <c r="L188" s="8">
        <f t="shared" si="90"/>
        <v>-854.5</v>
      </c>
      <c r="M188" s="3"/>
      <c r="N188" s="7">
        <f t="shared" si="91"/>
        <v>-0.44103908705683187</v>
      </c>
      <c r="O188" s="12"/>
      <c r="P188" s="8">
        <v>1082.97</v>
      </c>
      <c r="Q188" s="3"/>
      <c r="R188" s="7">
        <f t="shared" si="92"/>
        <v>2.1481141752526509E-3</v>
      </c>
      <c r="S188" s="3"/>
      <c r="T188" s="8">
        <v>1937.47</v>
      </c>
      <c r="U188" s="3"/>
      <c r="V188" s="7">
        <f t="shared" si="93"/>
        <v>4.0625642484826479E-3</v>
      </c>
      <c r="W188" s="3"/>
      <c r="X188" s="8">
        <f t="shared" si="94"/>
        <v>-854.5</v>
      </c>
      <c r="Y188" s="3"/>
      <c r="Z188" s="7">
        <f t="shared" si="95"/>
        <v>-0.44103908705683187</v>
      </c>
    </row>
    <row r="189" spans="1:26" s="29" customFormat="1" outlineLevel="1" collapsed="1" x14ac:dyDescent="0.3">
      <c r="A189" s="28"/>
      <c r="B189" s="14" t="str">
        <f>CONCATENATE("     ","Subscriptions &amp; Dues                              ")</f>
        <v xml:space="preserve">     Subscriptions &amp; Dues                              </v>
      </c>
      <c r="C189" s="14"/>
      <c r="D189" s="1">
        <f>SUM(OSRRefD22_19x_0)</f>
        <v>198.98999999999998</v>
      </c>
      <c r="E189" s="1"/>
      <c r="F189" s="5">
        <f t="shared" ref="F189:F191" si="96">IF(D$12=0,0,D189/D$12)</f>
        <v>3.9470459914265856E-4</v>
      </c>
      <c r="G189" s="1"/>
      <c r="H189" s="1">
        <f>SUM(OSRRefH22_19x_0)</f>
        <v>374.32</v>
      </c>
      <c r="I189" s="1"/>
      <c r="J189" s="5">
        <f t="shared" ref="J189:J191" si="97">IF(H$12=0,0,H189/H$12)</f>
        <v>7.8488908189134525E-4</v>
      </c>
      <c r="K189" s="1"/>
      <c r="L189" s="1">
        <f t="shared" ref="L189:L191" si="98">+D189-H189</f>
        <v>-175.33</v>
      </c>
      <c r="M189" s="1"/>
      <c r="N189" s="5">
        <f t="shared" ref="N189:N191" si="99">IF(H189=0,0,L189/H189)</f>
        <v>-0.46839602479162218</v>
      </c>
      <c r="O189" s="14"/>
      <c r="P189" s="1">
        <f>SUM(OSRRefP22_19x_0)</f>
        <v>198.98999999999998</v>
      </c>
      <c r="Q189" s="1"/>
      <c r="R189" s="5">
        <f t="shared" ref="R189:R191" si="100">IF(P$12=0,0,P189/P$12)</f>
        <v>3.9470459914265856E-4</v>
      </c>
      <c r="S189" s="1"/>
      <c r="T189" s="1">
        <f>SUM(OSRRefT22_19x_0)</f>
        <v>374.32</v>
      </c>
      <c r="U189" s="1"/>
      <c r="V189" s="5">
        <f t="shared" ref="V189:V191" si="101">IF(T$12=0,0,T189/T$12)</f>
        <v>7.8488908189134525E-4</v>
      </c>
      <c r="W189" s="1"/>
      <c r="X189" s="1">
        <f t="shared" ref="X189:X191" si="102">+P189-T189</f>
        <v>-175.33</v>
      </c>
      <c r="Y189" s="1"/>
      <c r="Z189" s="5">
        <f t="shared" ref="Z189:Z191" si="103">IF(T189=0,0,X189/T189)</f>
        <v>-0.46839602479162218</v>
      </c>
    </row>
    <row r="190" spans="1:26" s="24" customFormat="1" hidden="1" outlineLevel="2" x14ac:dyDescent="0.3">
      <c r="A190" s="27"/>
      <c r="B190" s="12" t="str">
        <f>CONCATENATE("          ", "6258", " - ", "MEMBERSHIP DUES")</f>
        <v xml:space="preserve">          6258 - MEMBERSHIP DUES</v>
      </c>
      <c r="C190" s="12"/>
      <c r="D190" s="8">
        <v>68.319999999999993</v>
      </c>
      <c r="E190" s="3"/>
      <c r="F190" s="7">
        <f t="shared" si="96"/>
        <v>1.3551544405963331E-4</v>
      </c>
      <c r="G190" s="3"/>
      <c r="H190" s="8">
        <v>290</v>
      </c>
      <c r="I190" s="3"/>
      <c r="J190" s="7">
        <f t="shared" si="97"/>
        <v>6.0808354816330981E-4</v>
      </c>
      <c r="K190" s="3"/>
      <c r="L190" s="8">
        <f t="shared" si="98"/>
        <v>-221.68</v>
      </c>
      <c r="M190" s="3"/>
      <c r="N190" s="7">
        <f t="shared" si="99"/>
        <v>-0.76441379310344826</v>
      </c>
      <c r="O190" s="12"/>
      <c r="P190" s="8">
        <v>68.319999999999993</v>
      </c>
      <c r="Q190" s="3"/>
      <c r="R190" s="7">
        <f t="shared" si="100"/>
        <v>1.3551544405963331E-4</v>
      </c>
      <c r="S190" s="3"/>
      <c r="T190" s="8">
        <v>290</v>
      </c>
      <c r="U190" s="3"/>
      <c r="V190" s="7">
        <f t="shared" si="101"/>
        <v>6.0808354816330981E-4</v>
      </c>
      <c r="W190" s="3"/>
      <c r="X190" s="8">
        <f t="shared" si="102"/>
        <v>-221.68</v>
      </c>
      <c r="Y190" s="3"/>
      <c r="Z190" s="7">
        <f t="shared" si="103"/>
        <v>-0.76441379310344826</v>
      </c>
    </row>
    <row r="191" spans="1:26" s="24" customFormat="1" hidden="1" outlineLevel="2" x14ac:dyDescent="0.3">
      <c r="A191" s="27"/>
      <c r="B191" s="12" t="str">
        <f>CONCATENATE("          ", "6275", " - ", "SUBSCRIPTIONS")</f>
        <v xml:space="preserve">          6275 - SUBSCRIPTIONS</v>
      </c>
      <c r="C191" s="12"/>
      <c r="D191" s="8">
        <v>130.66999999999999</v>
      </c>
      <c r="E191" s="3"/>
      <c r="F191" s="7">
        <f t="shared" si="96"/>
        <v>2.5918915508302525E-4</v>
      </c>
      <c r="G191" s="3"/>
      <c r="H191" s="8">
        <v>84.32</v>
      </c>
      <c r="I191" s="3"/>
      <c r="J191" s="7">
        <f t="shared" si="97"/>
        <v>1.7680553372803544E-4</v>
      </c>
      <c r="K191" s="3"/>
      <c r="L191" s="8">
        <f t="shared" si="98"/>
        <v>46.349999999999994</v>
      </c>
      <c r="M191" s="3"/>
      <c r="N191" s="7">
        <f t="shared" si="99"/>
        <v>0.54969165085388993</v>
      </c>
      <c r="O191" s="12"/>
      <c r="P191" s="8">
        <v>130.66999999999999</v>
      </c>
      <c r="Q191" s="3"/>
      <c r="R191" s="7">
        <f t="shared" si="100"/>
        <v>2.5918915508302525E-4</v>
      </c>
      <c r="S191" s="3"/>
      <c r="T191" s="8">
        <v>84.32</v>
      </c>
      <c r="U191" s="3"/>
      <c r="V191" s="7">
        <f t="shared" si="101"/>
        <v>1.7680553372803544E-4</v>
      </c>
      <c r="W191" s="3"/>
      <c r="X191" s="8">
        <f t="shared" si="102"/>
        <v>46.349999999999994</v>
      </c>
      <c r="Y191" s="3"/>
      <c r="Z191" s="7">
        <f t="shared" si="103"/>
        <v>0.54969165085388993</v>
      </c>
    </row>
    <row r="192" spans="1:26" s="29" customFormat="1" outlineLevel="1" collapsed="1" x14ac:dyDescent="0.3">
      <c r="A192" s="28"/>
      <c r="B192" s="14" t="str">
        <f>CONCATENATE("     ","Supplies                                          ")</f>
        <v xml:space="preserve">     Supplies                                          </v>
      </c>
      <c r="C192" s="14"/>
      <c r="D192" s="1">
        <f>SUM(OSRRefD22_20x_0)</f>
        <v>16538.2</v>
      </c>
      <c r="E192" s="1"/>
      <c r="F192" s="5">
        <f t="shared" ref="F192:F199" si="104">IF(D$12=0,0,D192/D$12)</f>
        <v>3.2804179112222304E-2</v>
      </c>
      <c r="G192" s="1"/>
      <c r="H192" s="1">
        <f>SUM(OSRRefH22_20x_0)</f>
        <v>19842.560000000001</v>
      </c>
      <c r="I192" s="1"/>
      <c r="J192" s="5">
        <f t="shared" ref="J192:J199" si="105">IF(H$12=0,0,H192/H$12)</f>
        <v>4.1606669963597812E-2</v>
      </c>
      <c r="K192" s="1"/>
      <c r="L192" s="1">
        <f t="shared" ref="L192:L199" si="106">+D192-H192</f>
        <v>-3304.3600000000006</v>
      </c>
      <c r="M192" s="1"/>
      <c r="N192" s="5">
        <f t="shared" ref="N192:N199" si="107">IF(H192=0,0,L192/H192)</f>
        <v>-0.16652891562379049</v>
      </c>
      <c r="O192" s="14"/>
      <c r="P192" s="1">
        <f>SUM(OSRRefP22_20x_0)</f>
        <v>16538.2</v>
      </c>
      <c r="Q192" s="1"/>
      <c r="R192" s="5">
        <f t="shared" ref="R192:R199" si="108">IF(P$12=0,0,P192/P$12)</f>
        <v>3.2804179112222304E-2</v>
      </c>
      <c r="S192" s="1"/>
      <c r="T192" s="1">
        <f>SUM(OSRRefT22_20x_0)</f>
        <v>19842.560000000001</v>
      </c>
      <c r="U192" s="1"/>
      <c r="V192" s="5">
        <f t="shared" ref="V192:V199" si="109">IF(T$12=0,0,T192/T$12)</f>
        <v>4.1606669963597812E-2</v>
      </c>
      <c r="W192" s="1"/>
      <c r="X192" s="1">
        <f t="shared" ref="X192:X199" si="110">+P192-T192</f>
        <v>-3304.3600000000006</v>
      </c>
      <c r="Y192" s="1"/>
      <c r="Z192" s="5">
        <f t="shared" ref="Z192:Z199" si="111">IF(T192=0,0,X192/T192)</f>
        <v>-0.16652891562379049</v>
      </c>
    </row>
    <row r="193" spans="1:26" s="24" customFormat="1" hidden="1" outlineLevel="2" x14ac:dyDescent="0.3">
      <c r="A193" s="27"/>
      <c r="B193" s="12" t="str">
        <f>CONCATENATE("          ", "6235", " - ", "COVID-19 EXPENSES")</f>
        <v xml:space="preserve">          6235 - COVID-19 EXPENSES</v>
      </c>
      <c r="C193" s="12"/>
      <c r="D193" s="8">
        <v>272.22000000000003</v>
      </c>
      <c r="E193" s="3"/>
      <c r="F193" s="7">
        <f t="shared" si="104"/>
        <v>5.3995922397414209E-4</v>
      </c>
      <c r="G193" s="3"/>
      <c r="H193" s="8">
        <v>12389.44</v>
      </c>
      <c r="I193" s="3"/>
      <c r="J193" s="7">
        <f t="shared" si="105"/>
        <v>2.5978671155022198E-2</v>
      </c>
      <c r="K193" s="3"/>
      <c r="L193" s="8">
        <f t="shared" si="106"/>
        <v>-12117.220000000001</v>
      </c>
      <c r="M193" s="3"/>
      <c r="N193" s="7">
        <f t="shared" si="107"/>
        <v>-0.97802806260815667</v>
      </c>
      <c r="O193" s="12"/>
      <c r="P193" s="8">
        <v>272.22000000000003</v>
      </c>
      <c r="Q193" s="3"/>
      <c r="R193" s="7">
        <f t="shared" si="108"/>
        <v>5.3995922397414209E-4</v>
      </c>
      <c r="S193" s="3"/>
      <c r="T193" s="8">
        <v>12389.44</v>
      </c>
      <c r="U193" s="3"/>
      <c r="V193" s="7">
        <f t="shared" si="109"/>
        <v>2.5978671155022198E-2</v>
      </c>
      <c r="W193" s="3"/>
      <c r="X193" s="8">
        <f t="shared" si="110"/>
        <v>-12117.220000000001</v>
      </c>
      <c r="Y193" s="3"/>
      <c r="Z193" s="7">
        <f t="shared" si="111"/>
        <v>-0.97802806260815667</v>
      </c>
    </row>
    <row r="194" spans="1:26" s="24" customFormat="1" hidden="1" outlineLevel="2" x14ac:dyDescent="0.3">
      <c r="A194" s="27"/>
      <c r="B194" s="12" t="str">
        <f>CONCATENATE("          ", "6237", " - ", "JANITORIAL SUPPLIES")</f>
        <v xml:space="preserve">          6237 - JANITORIAL SUPPLIES</v>
      </c>
      <c r="C194" s="12"/>
      <c r="D194" s="8">
        <v>5360.09</v>
      </c>
      <c r="E194" s="3"/>
      <c r="F194" s="7">
        <f t="shared" si="104"/>
        <v>1.0631952232868853E-2</v>
      </c>
      <c r="G194" s="3"/>
      <c r="H194" s="8">
        <v>1327.35</v>
      </c>
      <c r="I194" s="3"/>
      <c r="J194" s="7">
        <f t="shared" si="105"/>
        <v>2.783240336739894E-3</v>
      </c>
      <c r="K194" s="3"/>
      <c r="L194" s="8">
        <f t="shared" si="106"/>
        <v>4032.7400000000002</v>
      </c>
      <c r="M194" s="3"/>
      <c r="N194" s="7">
        <f t="shared" si="107"/>
        <v>3.0381888725656387</v>
      </c>
      <c r="O194" s="12"/>
      <c r="P194" s="8">
        <v>5360.09</v>
      </c>
      <c r="Q194" s="3"/>
      <c r="R194" s="7">
        <f t="shared" si="108"/>
        <v>1.0631952232868853E-2</v>
      </c>
      <c r="S194" s="3"/>
      <c r="T194" s="8">
        <v>1327.35</v>
      </c>
      <c r="U194" s="3"/>
      <c r="V194" s="7">
        <f t="shared" si="109"/>
        <v>2.783240336739894E-3</v>
      </c>
      <c r="W194" s="3"/>
      <c r="X194" s="8">
        <f t="shared" si="110"/>
        <v>4032.7400000000002</v>
      </c>
      <c r="Y194" s="3"/>
      <c r="Z194" s="7">
        <f t="shared" si="111"/>
        <v>3.0381888725656387</v>
      </c>
    </row>
    <row r="195" spans="1:26" s="24" customFormat="1" hidden="1" outlineLevel="2" x14ac:dyDescent="0.3">
      <c r="A195" s="27"/>
      <c r="B195" s="12" t="str">
        <f>CONCATENATE("          ", "6239", " - ", "KITCHEN SUPPLIES")</f>
        <v xml:space="preserve">          6239 - KITCHEN SUPPLIES</v>
      </c>
      <c r="C195" s="12"/>
      <c r="D195" s="8">
        <v>32.03</v>
      </c>
      <c r="E195" s="3"/>
      <c r="F195" s="7">
        <f t="shared" si="104"/>
        <v>6.3532782102313455E-5</v>
      </c>
      <c r="G195" s="3"/>
      <c r="H195" s="8">
        <v>50</v>
      </c>
      <c r="I195" s="3"/>
      <c r="J195" s="7">
        <f t="shared" si="105"/>
        <v>1.0484199106263962E-4</v>
      </c>
      <c r="K195" s="3"/>
      <c r="L195" s="8">
        <f t="shared" si="106"/>
        <v>-17.97</v>
      </c>
      <c r="M195" s="3"/>
      <c r="N195" s="7">
        <f t="shared" si="107"/>
        <v>-0.3594</v>
      </c>
      <c r="O195" s="12"/>
      <c r="P195" s="8">
        <v>32.03</v>
      </c>
      <c r="Q195" s="3"/>
      <c r="R195" s="7">
        <f t="shared" si="108"/>
        <v>6.3532782102313455E-5</v>
      </c>
      <c r="S195" s="3"/>
      <c r="T195" s="8">
        <v>50</v>
      </c>
      <c r="U195" s="3"/>
      <c r="V195" s="7">
        <f t="shared" si="109"/>
        <v>1.0484199106263962E-4</v>
      </c>
      <c r="W195" s="3"/>
      <c r="X195" s="8">
        <f t="shared" si="110"/>
        <v>-17.97</v>
      </c>
      <c r="Y195" s="3"/>
      <c r="Z195" s="7">
        <f t="shared" si="111"/>
        <v>-0.3594</v>
      </c>
    </row>
    <row r="196" spans="1:26" s="24" customFormat="1" hidden="1" outlineLevel="2" x14ac:dyDescent="0.3">
      <c r="A196" s="27"/>
      <c r="B196" s="12" t="str">
        <f>CONCATENATE("          ", "6241", " - ", "OFFICE EXPENSE")</f>
        <v xml:space="preserve">          6241 - OFFICE EXPENSE</v>
      </c>
      <c r="C196" s="12"/>
      <c r="D196" s="8">
        <v>1860.65</v>
      </c>
      <c r="E196" s="3"/>
      <c r="F196" s="7">
        <f t="shared" si="104"/>
        <v>3.690673462961896E-3</v>
      </c>
      <c r="G196" s="3"/>
      <c r="H196" s="8">
        <v>489.8</v>
      </c>
      <c r="I196" s="3"/>
      <c r="J196" s="7">
        <f t="shared" si="105"/>
        <v>1.0270321444496178E-3</v>
      </c>
      <c r="K196" s="3"/>
      <c r="L196" s="8">
        <f t="shared" si="106"/>
        <v>1370.8500000000001</v>
      </c>
      <c r="M196" s="3"/>
      <c r="N196" s="7">
        <f t="shared" si="107"/>
        <v>2.7987954267047779</v>
      </c>
      <c r="O196" s="12"/>
      <c r="P196" s="8">
        <v>1860.65</v>
      </c>
      <c r="Q196" s="3"/>
      <c r="R196" s="7">
        <f t="shared" si="108"/>
        <v>3.690673462961896E-3</v>
      </c>
      <c r="S196" s="3"/>
      <c r="T196" s="8">
        <v>489.8</v>
      </c>
      <c r="U196" s="3"/>
      <c r="V196" s="7">
        <f t="shared" si="109"/>
        <v>1.0270321444496178E-3</v>
      </c>
      <c r="W196" s="3"/>
      <c r="X196" s="8">
        <f t="shared" si="110"/>
        <v>1370.8500000000001</v>
      </c>
      <c r="Y196" s="3"/>
      <c r="Z196" s="7">
        <f t="shared" si="111"/>
        <v>2.7987954267047779</v>
      </c>
    </row>
    <row r="197" spans="1:26" s="24" customFormat="1" hidden="1" outlineLevel="2" x14ac:dyDescent="0.3">
      <c r="A197" s="27"/>
      <c r="B197" s="12" t="str">
        <f>CONCATENATE("          ", "6243", " - ", "PAPER SUPPLIES")</f>
        <v xml:space="preserve">          6243 - PAPER SUPPLIES</v>
      </c>
      <c r="C197" s="12"/>
      <c r="D197" s="8">
        <v>2877.69</v>
      </c>
      <c r="E197" s="3"/>
      <c r="F197" s="7">
        <f t="shared" si="104"/>
        <v>5.7080128544491539E-3</v>
      </c>
      <c r="G197" s="3"/>
      <c r="H197" s="8">
        <v>1727.88</v>
      </c>
      <c r="I197" s="3"/>
      <c r="J197" s="7">
        <f t="shared" si="105"/>
        <v>3.6230875903462754E-3</v>
      </c>
      <c r="K197" s="3"/>
      <c r="L197" s="8">
        <f t="shared" si="106"/>
        <v>1149.81</v>
      </c>
      <c r="M197" s="3"/>
      <c r="N197" s="7">
        <f t="shared" si="107"/>
        <v>0.66544551704979504</v>
      </c>
      <c r="O197" s="12"/>
      <c r="P197" s="8">
        <v>2877.69</v>
      </c>
      <c r="Q197" s="3"/>
      <c r="R197" s="7">
        <f t="shared" si="108"/>
        <v>5.7080128544491539E-3</v>
      </c>
      <c r="S197" s="3"/>
      <c r="T197" s="8">
        <v>1727.88</v>
      </c>
      <c r="U197" s="3"/>
      <c r="V197" s="7">
        <f t="shared" si="109"/>
        <v>3.6230875903462754E-3</v>
      </c>
      <c r="W197" s="3"/>
      <c r="X197" s="8">
        <f t="shared" si="110"/>
        <v>1149.81</v>
      </c>
      <c r="Y197" s="3"/>
      <c r="Z197" s="7">
        <f t="shared" si="111"/>
        <v>0.66544551704979504</v>
      </c>
    </row>
    <row r="198" spans="1:26" s="24" customFormat="1" hidden="1" outlineLevel="2" x14ac:dyDescent="0.3">
      <c r="A198" s="27"/>
      <c r="B198" s="12" t="str">
        <f>CONCATENATE("          ", "6245", " - ", "PRINTING")</f>
        <v xml:space="preserve">          6245 - PRINTING</v>
      </c>
      <c r="C198" s="12"/>
      <c r="D198" s="8">
        <v>251.64</v>
      </c>
      <c r="E198" s="3"/>
      <c r="F198" s="7">
        <f t="shared" si="104"/>
        <v>4.9913797340699832E-4</v>
      </c>
      <c r="G198" s="3"/>
      <c r="H198" s="8">
        <v>-1543.5</v>
      </c>
      <c r="I198" s="3"/>
      <c r="J198" s="7">
        <f t="shared" si="105"/>
        <v>-3.2364722641036853E-3</v>
      </c>
      <c r="K198" s="3"/>
      <c r="L198" s="8">
        <f t="shared" si="106"/>
        <v>1795.1399999999999</v>
      </c>
      <c r="M198" s="3"/>
      <c r="N198" s="7">
        <f t="shared" si="107"/>
        <v>-1.1630320699708454</v>
      </c>
      <c r="O198" s="12"/>
      <c r="P198" s="8">
        <v>251.64</v>
      </c>
      <c r="Q198" s="3"/>
      <c r="R198" s="7">
        <f t="shared" si="108"/>
        <v>4.9913797340699832E-4</v>
      </c>
      <c r="S198" s="3"/>
      <c r="T198" s="8">
        <v>-1543.5</v>
      </c>
      <c r="U198" s="3"/>
      <c r="V198" s="7">
        <f t="shared" si="109"/>
        <v>-3.2364722641036853E-3</v>
      </c>
      <c r="W198" s="3"/>
      <c r="X198" s="8">
        <f t="shared" si="110"/>
        <v>1795.1399999999999</v>
      </c>
      <c r="Y198" s="3"/>
      <c r="Z198" s="7">
        <f t="shared" si="111"/>
        <v>-1.1630320699708454</v>
      </c>
    </row>
    <row r="199" spans="1:26" s="24" customFormat="1" hidden="1" outlineLevel="2" x14ac:dyDescent="0.3">
      <c r="A199" s="27"/>
      <c r="B199" s="12" t="str">
        <f>CONCATENATE("          ", "6247", " - ", "STORE SUPPLIES")</f>
        <v xml:space="preserve">          6247 - STORE SUPPLIES</v>
      </c>
      <c r="C199" s="12"/>
      <c r="D199" s="8">
        <v>5883.88</v>
      </c>
      <c r="E199" s="3"/>
      <c r="F199" s="7">
        <f t="shared" si="104"/>
        <v>1.1670910582458947E-2</v>
      </c>
      <c r="G199" s="3"/>
      <c r="H199" s="8">
        <v>5401.59</v>
      </c>
      <c r="I199" s="3"/>
      <c r="J199" s="7">
        <f t="shared" si="105"/>
        <v>1.1326269010080872E-2</v>
      </c>
      <c r="K199" s="3"/>
      <c r="L199" s="8">
        <f t="shared" si="106"/>
        <v>482.28999999999996</v>
      </c>
      <c r="M199" s="3"/>
      <c r="N199" s="7">
        <f t="shared" si="107"/>
        <v>8.9286672998135724E-2</v>
      </c>
      <c r="O199" s="12"/>
      <c r="P199" s="8">
        <v>5883.88</v>
      </c>
      <c r="Q199" s="3"/>
      <c r="R199" s="7">
        <f t="shared" si="108"/>
        <v>1.1670910582458947E-2</v>
      </c>
      <c r="S199" s="3"/>
      <c r="T199" s="8">
        <v>5401.59</v>
      </c>
      <c r="U199" s="3"/>
      <c r="V199" s="7">
        <f t="shared" si="109"/>
        <v>1.1326269010080872E-2</v>
      </c>
      <c r="W199" s="3"/>
      <c r="X199" s="8">
        <f t="shared" si="110"/>
        <v>482.28999999999996</v>
      </c>
      <c r="Y199" s="3"/>
      <c r="Z199" s="7">
        <f t="shared" si="111"/>
        <v>8.9286672998135724E-2</v>
      </c>
    </row>
    <row r="200" spans="1:26" s="29" customFormat="1" outlineLevel="1" collapsed="1" x14ac:dyDescent="0.3">
      <c r="A200" s="28"/>
      <c r="B200" s="14" t="str">
        <f>CONCATENATE("     ","Telephone/Data Lines                              ")</f>
        <v xml:space="preserve">     Telephone/Data Lines                              </v>
      </c>
      <c r="C200" s="14"/>
      <c r="D200" s="1">
        <f>SUM(OSRRefD22_21x_0)</f>
        <v>2742.84</v>
      </c>
      <c r="E200" s="1"/>
      <c r="F200" s="5">
        <f t="shared" ref="F200:F202" si="112">IF(D$12=0,0,D200/D$12)</f>
        <v>5.4405325027008884E-3</v>
      </c>
      <c r="G200" s="1"/>
      <c r="H200" s="1">
        <f>SUM(OSRRefH22_21x_0)</f>
        <v>5058.1099999999997</v>
      </c>
      <c r="I200" s="1"/>
      <c r="J200" s="5">
        <f t="shared" ref="J200:J202" si="113">IF(H$12=0,0,H200/H$12)</f>
        <v>1.0606046468276962E-2</v>
      </c>
      <c r="K200" s="1"/>
      <c r="L200" s="1">
        <f t="shared" ref="L200:L202" si="114">+D200-H200</f>
        <v>-2315.2699999999995</v>
      </c>
      <c r="M200" s="1"/>
      <c r="N200" s="5">
        <f t="shared" ref="N200:N202" si="115">IF(H200=0,0,L200/H200)</f>
        <v>-0.45773421297678374</v>
      </c>
      <c r="O200" s="14"/>
      <c r="P200" s="1">
        <f>SUM(OSRRefP22_21x_0)</f>
        <v>2742.84</v>
      </c>
      <c r="Q200" s="1"/>
      <c r="R200" s="5">
        <f t="shared" ref="R200:R202" si="116">IF(P$12=0,0,P200/P$12)</f>
        <v>5.4405325027008884E-3</v>
      </c>
      <c r="S200" s="1"/>
      <c r="T200" s="1">
        <f>SUM(OSRRefT22_21x_0)</f>
        <v>5058.1099999999997</v>
      </c>
      <c r="U200" s="1"/>
      <c r="V200" s="5">
        <f t="shared" ref="V200:V202" si="117">IF(T$12=0,0,T200/T$12)</f>
        <v>1.0606046468276962E-2</v>
      </c>
      <c r="W200" s="1"/>
      <c r="X200" s="1">
        <f t="shared" ref="X200:X202" si="118">+P200-T200</f>
        <v>-2315.2699999999995</v>
      </c>
      <c r="Y200" s="1"/>
      <c r="Z200" s="5">
        <f t="shared" ref="Z200:Z202" si="119">IF(T200=0,0,X200/T200)</f>
        <v>-0.45773421297678374</v>
      </c>
    </row>
    <row r="201" spans="1:26" s="24" customFormat="1" hidden="1" outlineLevel="2" x14ac:dyDescent="0.3">
      <c r="A201" s="27"/>
      <c r="B201" s="12" t="str">
        <f>CONCATENATE("          ", "6303", " - ", "DATA PHONE LINES")</f>
        <v xml:space="preserve">          6303 - DATA PHONE LINES</v>
      </c>
      <c r="C201" s="12"/>
      <c r="D201" s="8">
        <v>295</v>
      </c>
      <c r="E201" s="3"/>
      <c r="F201" s="7">
        <f t="shared" si="112"/>
        <v>5.8514426225983354E-4</v>
      </c>
      <c r="G201" s="3"/>
      <c r="H201" s="8">
        <v>295</v>
      </c>
      <c r="I201" s="3"/>
      <c r="J201" s="7">
        <f t="shared" si="113"/>
        <v>6.1856774726957379E-4</v>
      </c>
      <c r="K201" s="3"/>
      <c r="L201" s="8">
        <f t="shared" si="114"/>
        <v>0</v>
      </c>
      <c r="M201" s="3"/>
      <c r="N201" s="7">
        <f t="shared" si="115"/>
        <v>0</v>
      </c>
      <c r="O201" s="12"/>
      <c r="P201" s="8">
        <v>295</v>
      </c>
      <c r="Q201" s="3"/>
      <c r="R201" s="7">
        <f t="shared" si="116"/>
        <v>5.8514426225983354E-4</v>
      </c>
      <c r="S201" s="3"/>
      <c r="T201" s="8">
        <v>295</v>
      </c>
      <c r="U201" s="3"/>
      <c r="V201" s="7">
        <f t="shared" si="117"/>
        <v>6.1856774726957379E-4</v>
      </c>
      <c r="W201" s="3"/>
      <c r="X201" s="8">
        <f t="shared" si="118"/>
        <v>0</v>
      </c>
      <c r="Y201" s="3"/>
      <c r="Z201" s="7">
        <f t="shared" si="119"/>
        <v>0</v>
      </c>
    </row>
    <row r="202" spans="1:26" s="24" customFormat="1" hidden="1" outlineLevel="2" x14ac:dyDescent="0.3">
      <c r="A202" s="27"/>
      <c r="B202" s="12" t="str">
        <f>CONCATENATE("          ", "6309", " - ", "TELEPHONE")</f>
        <v xml:space="preserve">          6309 - TELEPHONE</v>
      </c>
      <c r="C202" s="12"/>
      <c r="D202" s="8">
        <v>2447.84</v>
      </c>
      <c r="E202" s="3"/>
      <c r="F202" s="7">
        <f t="shared" si="112"/>
        <v>4.8553882404410546E-3</v>
      </c>
      <c r="G202" s="3"/>
      <c r="H202" s="8">
        <v>4763.1099999999997</v>
      </c>
      <c r="I202" s="3"/>
      <c r="J202" s="7">
        <f t="shared" si="113"/>
        <v>9.9874787210073885E-3</v>
      </c>
      <c r="K202" s="3"/>
      <c r="L202" s="8">
        <f t="shared" si="114"/>
        <v>-2315.2699999999995</v>
      </c>
      <c r="M202" s="3"/>
      <c r="N202" s="7">
        <f t="shared" si="115"/>
        <v>-0.48608367222256038</v>
      </c>
      <c r="O202" s="12"/>
      <c r="P202" s="8">
        <v>2447.84</v>
      </c>
      <c r="Q202" s="3"/>
      <c r="R202" s="7">
        <f t="shared" si="116"/>
        <v>4.8553882404410546E-3</v>
      </c>
      <c r="S202" s="3"/>
      <c r="T202" s="8">
        <v>4763.1099999999997</v>
      </c>
      <c r="U202" s="3"/>
      <c r="V202" s="7">
        <f t="shared" si="117"/>
        <v>9.9874787210073885E-3</v>
      </c>
      <c r="W202" s="3"/>
      <c r="X202" s="8">
        <f t="shared" si="118"/>
        <v>-2315.2699999999995</v>
      </c>
      <c r="Y202" s="3"/>
      <c r="Z202" s="7">
        <f t="shared" si="119"/>
        <v>-0.48608367222256038</v>
      </c>
    </row>
    <row r="203" spans="1:26" s="29" customFormat="1" outlineLevel="1" collapsed="1" x14ac:dyDescent="0.3">
      <c r="A203" s="28"/>
      <c r="B203" s="14" t="str">
        <f>CONCATENATE("     ","Training                                          ")</f>
        <v xml:space="preserve">     Training                                          </v>
      </c>
      <c r="C203" s="14"/>
      <c r="D203" s="1">
        <f>SUM(OSRRefD22_22x_0)</f>
        <v>0</v>
      </c>
      <c r="E203" s="1"/>
      <c r="F203" s="5">
        <f t="shared" ref="F203:F208" si="120">IF(D$12=0,0,D203/D$12)</f>
        <v>0</v>
      </c>
      <c r="G203" s="1"/>
      <c r="H203" s="1">
        <f>SUM(OSRRefH22_22x_0)</f>
        <v>131.63</v>
      </c>
      <c r="I203" s="1"/>
      <c r="J203" s="5">
        <f t="shared" ref="J203:J208" si="121">IF(H$12=0,0,H203/H$12)</f>
        <v>2.7600702567150506E-4</v>
      </c>
      <c r="K203" s="1"/>
      <c r="L203" s="1">
        <f t="shared" ref="L203:L208" si="122">+D203-H203</f>
        <v>-131.63</v>
      </c>
      <c r="M203" s="1"/>
      <c r="N203" s="5">
        <f t="shared" ref="N203:N208" si="123">IF(H203=0,0,L203/H203)</f>
        <v>-1</v>
      </c>
      <c r="O203" s="14"/>
      <c r="P203" s="1">
        <f>SUM(OSRRefP22_22x_0)</f>
        <v>0</v>
      </c>
      <c r="Q203" s="1"/>
      <c r="R203" s="5">
        <f t="shared" ref="R203:R208" si="124">IF(P$12=0,0,P203/P$12)</f>
        <v>0</v>
      </c>
      <c r="S203" s="1"/>
      <c r="T203" s="1">
        <f>SUM(OSRRefT22_22x_0)</f>
        <v>131.63</v>
      </c>
      <c r="U203" s="1"/>
      <c r="V203" s="5">
        <f t="shared" ref="V203:V208" si="125">IF(T$12=0,0,T203/T$12)</f>
        <v>2.7600702567150506E-4</v>
      </c>
      <c r="W203" s="1"/>
      <c r="X203" s="1">
        <f t="shared" ref="X203:X208" si="126">+P203-T203</f>
        <v>-131.63</v>
      </c>
      <c r="Y203" s="1"/>
      <c r="Z203" s="5">
        <f t="shared" ref="Z203:Z208" si="127">IF(T203=0,0,X203/T203)</f>
        <v>-1</v>
      </c>
    </row>
    <row r="204" spans="1:26" s="24" customFormat="1" hidden="1" outlineLevel="2" x14ac:dyDescent="0.3">
      <c r="A204" s="27"/>
      <c r="B204" s="12" t="str">
        <f>CONCATENATE("          ", "6376", " - ", "TRAINING")</f>
        <v xml:space="preserve">          6376 - TRAINING</v>
      </c>
      <c r="C204" s="12"/>
      <c r="D204" s="8"/>
      <c r="E204" s="3"/>
      <c r="F204" s="7">
        <f t="shared" si="120"/>
        <v>0</v>
      </c>
      <c r="G204" s="3"/>
      <c r="H204" s="8">
        <v>131.63</v>
      </c>
      <c r="I204" s="3"/>
      <c r="J204" s="7">
        <f t="shared" si="121"/>
        <v>2.7600702567150506E-4</v>
      </c>
      <c r="K204" s="3"/>
      <c r="L204" s="8">
        <f t="shared" si="122"/>
        <v>-131.63</v>
      </c>
      <c r="M204" s="3"/>
      <c r="N204" s="7">
        <f t="shared" si="123"/>
        <v>-1</v>
      </c>
      <c r="O204" s="12"/>
      <c r="P204" s="8"/>
      <c r="Q204" s="3"/>
      <c r="R204" s="7">
        <f t="shared" si="124"/>
        <v>0</v>
      </c>
      <c r="S204" s="3"/>
      <c r="T204" s="8">
        <v>131.63</v>
      </c>
      <c r="U204" s="3"/>
      <c r="V204" s="7">
        <f t="shared" si="125"/>
        <v>2.7600702567150506E-4</v>
      </c>
      <c r="W204" s="3"/>
      <c r="X204" s="8">
        <f t="shared" si="126"/>
        <v>-131.63</v>
      </c>
      <c r="Y204" s="3"/>
      <c r="Z204" s="7">
        <f t="shared" si="127"/>
        <v>-1</v>
      </c>
    </row>
    <row r="205" spans="1:26" s="29" customFormat="1" outlineLevel="1" collapsed="1" x14ac:dyDescent="0.3">
      <c r="A205" s="28"/>
      <c r="B205" s="14" t="str">
        <f>CONCATENATE("     ","Travel                                            ")</f>
        <v xml:space="preserve">     Travel                                            </v>
      </c>
      <c r="C205" s="14"/>
      <c r="D205" s="1">
        <f>SUM(OSRRefD22_23x_0)</f>
        <v>683.14</v>
      </c>
      <c r="E205" s="1"/>
      <c r="F205" s="5">
        <f t="shared" si="120"/>
        <v>1.355035428204009E-3</v>
      </c>
      <c r="G205" s="1"/>
      <c r="H205" s="1">
        <f>SUM(OSRRefH22_23x_0)</f>
        <v>454.9</v>
      </c>
      <c r="I205" s="1"/>
      <c r="J205" s="5">
        <f t="shared" si="121"/>
        <v>9.538524346878952E-4</v>
      </c>
      <c r="K205" s="1"/>
      <c r="L205" s="1">
        <f t="shared" si="122"/>
        <v>228.24</v>
      </c>
      <c r="M205" s="1"/>
      <c r="N205" s="5">
        <f t="shared" si="123"/>
        <v>0.50173664541657514</v>
      </c>
      <c r="O205" s="14"/>
      <c r="P205" s="1">
        <f>SUM(OSRRefP22_23x_0)</f>
        <v>683.14</v>
      </c>
      <c r="Q205" s="1"/>
      <c r="R205" s="5">
        <f t="shared" si="124"/>
        <v>1.355035428204009E-3</v>
      </c>
      <c r="S205" s="1"/>
      <c r="T205" s="1">
        <f>SUM(OSRRefT22_23x_0)</f>
        <v>454.9</v>
      </c>
      <c r="U205" s="1"/>
      <c r="V205" s="5">
        <f t="shared" si="125"/>
        <v>9.538524346878952E-4</v>
      </c>
      <c r="W205" s="1"/>
      <c r="X205" s="1">
        <f t="shared" si="126"/>
        <v>228.24</v>
      </c>
      <c r="Y205" s="1"/>
      <c r="Z205" s="5">
        <f t="shared" si="127"/>
        <v>0.50173664541657514</v>
      </c>
    </row>
    <row r="206" spans="1:26" s="24" customFormat="1" hidden="1" outlineLevel="2" x14ac:dyDescent="0.3">
      <c r="A206" s="27"/>
      <c r="B206" s="12" t="str">
        <f>CONCATENATE("          ", "6292", " - ", "TRAVEL/CONFERENCE")</f>
        <v xml:space="preserve">          6292 - TRAVEL/CONFERENCE</v>
      </c>
      <c r="C206" s="12"/>
      <c r="D206" s="8">
        <v>495</v>
      </c>
      <c r="E206" s="3"/>
      <c r="F206" s="7">
        <f t="shared" si="120"/>
        <v>9.8185223667328E-4</v>
      </c>
      <c r="G206" s="3"/>
      <c r="H206" s="8">
        <v>0.16</v>
      </c>
      <c r="I206" s="3"/>
      <c r="J206" s="7">
        <f t="shared" si="121"/>
        <v>3.3549437140044681E-7</v>
      </c>
      <c r="K206" s="3"/>
      <c r="L206" s="8">
        <f t="shared" si="122"/>
        <v>494.84</v>
      </c>
      <c r="M206" s="3"/>
      <c r="N206" s="7">
        <f t="shared" si="123"/>
        <v>3092.75</v>
      </c>
      <c r="O206" s="12"/>
      <c r="P206" s="8">
        <v>495</v>
      </c>
      <c r="Q206" s="3"/>
      <c r="R206" s="7">
        <f t="shared" si="124"/>
        <v>9.8185223667328E-4</v>
      </c>
      <c r="S206" s="3"/>
      <c r="T206" s="8">
        <v>0.16</v>
      </c>
      <c r="U206" s="3"/>
      <c r="V206" s="7">
        <f t="shared" si="125"/>
        <v>3.3549437140044681E-7</v>
      </c>
      <c r="W206" s="3"/>
      <c r="X206" s="8">
        <f t="shared" si="126"/>
        <v>494.84</v>
      </c>
      <c r="Y206" s="3"/>
      <c r="Z206" s="7">
        <f t="shared" si="127"/>
        <v>3092.75</v>
      </c>
    </row>
    <row r="207" spans="1:26" s="24" customFormat="1" hidden="1" outlineLevel="2" x14ac:dyDescent="0.3">
      <c r="A207" s="27"/>
      <c r="B207" s="12" t="str">
        <f>CONCATENATE("          ", "6294", " - ", "TRAVEL OPERATIONAL")</f>
        <v xml:space="preserve">          6294 - TRAVEL OPERATIONAL</v>
      </c>
      <c r="C207" s="12"/>
      <c r="D207" s="8">
        <v>188.14</v>
      </c>
      <c r="E207" s="3"/>
      <c r="F207" s="7">
        <f t="shared" si="120"/>
        <v>3.7318319153072907E-4</v>
      </c>
      <c r="G207" s="3"/>
      <c r="H207" s="8">
        <v>215.16</v>
      </c>
      <c r="I207" s="3"/>
      <c r="J207" s="7">
        <f t="shared" si="121"/>
        <v>4.5115605594075081E-4</v>
      </c>
      <c r="K207" s="3"/>
      <c r="L207" s="8">
        <f t="shared" si="122"/>
        <v>-27.02000000000001</v>
      </c>
      <c r="M207" s="3"/>
      <c r="N207" s="7">
        <f t="shared" si="123"/>
        <v>-0.12558096300427593</v>
      </c>
      <c r="O207" s="12"/>
      <c r="P207" s="8">
        <v>188.14</v>
      </c>
      <c r="Q207" s="3"/>
      <c r="R207" s="7">
        <f t="shared" si="124"/>
        <v>3.7318319153072907E-4</v>
      </c>
      <c r="S207" s="3"/>
      <c r="T207" s="8">
        <v>215.16</v>
      </c>
      <c r="U207" s="3"/>
      <c r="V207" s="7">
        <f t="shared" si="125"/>
        <v>4.5115605594075081E-4</v>
      </c>
      <c r="W207" s="3"/>
      <c r="X207" s="8">
        <f t="shared" si="126"/>
        <v>-27.02000000000001</v>
      </c>
      <c r="Y207" s="3"/>
      <c r="Z207" s="7">
        <f t="shared" si="127"/>
        <v>-0.12558096300427593</v>
      </c>
    </row>
    <row r="208" spans="1:26" s="24" customFormat="1" hidden="1" outlineLevel="2" x14ac:dyDescent="0.3">
      <c r="A208" s="27"/>
      <c r="B208" s="12" t="str">
        <f>CONCATENATE("          ", "6298", " - ", "VEHICLE MILEAGE")</f>
        <v xml:space="preserve">          6298 - VEHICLE MILEAGE</v>
      </c>
      <c r="C208" s="12"/>
      <c r="D208" s="8"/>
      <c r="E208" s="3"/>
      <c r="F208" s="7">
        <f t="shared" si="120"/>
        <v>0</v>
      </c>
      <c r="G208" s="3"/>
      <c r="H208" s="8">
        <v>239.58</v>
      </c>
      <c r="I208" s="3"/>
      <c r="J208" s="7">
        <f t="shared" si="121"/>
        <v>5.0236088437574406E-4</v>
      </c>
      <c r="K208" s="3"/>
      <c r="L208" s="8">
        <f t="shared" si="122"/>
        <v>-239.58</v>
      </c>
      <c r="M208" s="3"/>
      <c r="N208" s="7">
        <f t="shared" si="123"/>
        <v>-1</v>
      </c>
      <c r="O208" s="12"/>
      <c r="P208" s="8"/>
      <c r="Q208" s="3"/>
      <c r="R208" s="7">
        <f t="shared" si="124"/>
        <v>0</v>
      </c>
      <c r="S208" s="3"/>
      <c r="T208" s="8">
        <v>239.58</v>
      </c>
      <c r="U208" s="3"/>
      <c r="V208" s="7">
        <f t="shared" si="125"/>
        <v>5.0236088437574406E-4</v>
      </c>
      <c r="W208" s="3"/>
      <c r="X208" s="8">
        <f t="shared" si="126"/>
        <v>-239.58</v>
      </c>
      <c r="Y208" s="3"/>
      <c r="Z208" s="7">
        <f t="shared" si="127"/>
        <v>-1</v>
      </c>
    </row>
    <row r="209" spans="1:26" s="29" customFormat="1" outlineLevel="1" collapsed="1" x14ac:dyDescent="0.3">
      <c r="A209" s="28"/>
      <c r="B209" s="14" t="str">
        <f>CONCATENATE("     ","Utilities                                         ")</f>
        <v xml:space="preserve">     Utilities                                         </v>
      </c>
      <c r="C209" s="14"/>
      <c r="D209" s="1">
        <f>SUM(OSRRefD22_24x_0)</f>
        <v>14286.49</v>
      </c>
      <c r="E209" s="1"/>
      <c r="F209" s="5">
        <f t="shared" ref="F209:F210" si="128">IF(D$12=0,0,D209/D$12)</f>
        <v>2.8337822546889796E-2</v>
      </c>
      <c r="G209" s="1"/>
      <c r="H209" s="1">
        <f>SUM(OSRRefH22_24x_0)</f>
        <v>8511.4599999999991</v>
      </c>
      <c r="I209" s="1"/>
      <c r="J209" s="5">
        <f t="shared" ref="J209:J210" si="129">IF(H$12=0,0,H209/H$12)</f>
        <v>1.7847168265000293E-2</v>
      </c>
      <c r="K209" s="1"/>
      <c r="L209" s="1">
        <f t="shared" ref="L209:L210" si="130">+D209-H209</f>
        <v>5775.0300000000007</v>
      </c>
      <c r="M209" s="1"/>
      <c r="N209" s="5">
        <f t="shared" ref="N209:N210" si="131">IF(H209=0,0,L209/H209)</f>
        <v>0.6785005157752021</v>
      </c>
      <c r="O209" s="14"/>
      <c r="P209" s="1">
        <f>SUM(OSRRefP22_24x_0)</f>
        <v>14286.49</v>
      </c>
      <c r="Q209" s="1"/>
      <c r="R209" s="5">
        <f t="shared" ref="R209:R210" si="132">IF(P$12=0,0,P209/P$12)</f>
        <v>2.8337822546889796E-2</v>
      </c>
      <c r="S209" s="1"/>
      <c r="T209" s="1">
        <f>SUM(OSRRefT22_24x_0)</f>
        <v>8511.4599999999991</v>
      </c>
      <c r="U209" s="1"/>
      <c r="V209" s="5">
        <f t="shared" ref="V209:V210" si="133">IF(T$12=0,0,T209/T$12)</f>
        <v>1.7847168265000293E-2</v>
      </c>
      <c r="W209" s="1"/>
      <c r="X209" s="1">
        <f t="shared" ref="X209:X210" si="134">+P209-T209</f>
        <v>5775.0300000000007</v>
      </c>
      <c r="Y209" s="1"/>
      <c r="Z209" s="5">
        <f t="shared" ref="Z209:Z210" si="135">IF(T209=0,0,X209/T209)</f>
        <v>0.6785005157752021</v>
      </c>
    </row>
    <row r="210" spans="1:26" s="24" customFormat="1" hidden="1" outlineLevel="2" x14ac:dyDescent="0.3">
      <c r="A210" s="27"/>
      <c r="B210" s="12" t="str">
        <f>CONCATENATE("          ", "6274", " - ", "UTILITIES")</f>
        <v xml:space="preserve">          6274 - UTILITIES</v>
      </c>
      <c r="C210" s="12"/>
      <c r="D210" s="8">
        <v>14286.49</v>
      </c>
      <c r="E210" s="3"/>
      <c r="F210" s="7">
        <f t="shared" si="128"/>
        <v>2.8337822546889796E-2</v>
      </c>
      <c r="G210" s="3"/>
      <c r="H210" s="8">
        <v>8511.4599999999991</v>
      </c>
      <c r="I210" s="3"/>
      <c r="J210" s="7">
        <f t="shared" si="129"/>
        <v>1.7847168265000293E-2</v>
      </c>
      <c r="K210" s="3"/>
      <c r="L210" s="8">
        <f t="shared" si="130"/>
        <v>5775.0300000000007</v>
      </c>
      <c r="M210" s="3"/>
      <c r="N210" s="7">
        <f t="shared" si="131"/>
        <v>0.6785005157752021</v>
      </c>
      <c r="O210" s="12"/>
      <c r="P210" s="8">
        <v>14286.49</v>
      </c>
      <c r="Q210" s="3"/>
      <c r="R210" s="7">
        <f t="shared" si="132"/>
        <v>2.8337822546889796E-2</v>
      </c>
      <c r="S210" s="3"/>
      <c r="T210" s="8">
        <v>8511.4599999999991</v>
      </c>
      <c r="U210" s="3"/>
      <c r="V210" s="7">
        <f t="shared" si="133"/>
        <v>1.7847168265000293E-2</v>
      </c>
      <c r="W210" s="3"/>
      <c r="X210" s="8">
        <f t="shared" si="134"/>
        <v>5775.0300000000007</v>
      </c>
      <c r="Y210" s="3"/>
      <c r="Z210" s="7">
        <f t="shared" si="135"/>
        <v>0.6785005157752021</v>
      </c>
    </row>
    <row r="211" spans="1:26" s="53" customFormat="1" x14ac:dyDescent="0.3">
      <c r="A211" s="37"/>
      <c r="B211" s="37"/>
      <c r="C211" s="37"/>
      <c r="D211" s="1"/>
      <c r="E211" s="1"/>
      <c r="F211" s="5"/>
      <c r="G211" s="1"/>
      <c r="H211" s="1"/>
      <c r="I211" s="1"/>
      <c r="J211" s="5"/>
      <c r="K211" s="1"/>
      <c r="L211" s="1"/>
      <c r="M211" s="1"/>
      <c r="N211" s="5"/>
      <c r="O211" s="37"/>
      <c r="P211" s="1"/>
      <c r="Q211" s="1"/>
      <c r="R211" s="5"/>
      <c r="S211" s="1"/>
      <c r="T211" s="1"/>
      <c r="U211" s="1"/>
      <c r="V211" s="5"/>
      <c r="W211" s="1"/>
      <c r="X211" s="1"/>
      <c r="Y211" s="1"/>
      <c r="Z211" s="5"/>
    </row>
    <row r="212" spans="1:26" s="23" customFormat="1" collapsed="1" x14ac:dyDescent="0.3">
      <c r="A212" s="10"/>
      <c r="B212" s="25" t="s">
        <v>292</v>
      </c>
      <c r="C212" s="10"/>
      <c r="D212" s="4">
        <f>SUM(OSRRefD25x_0)</f>
        <v>42597.810000000005</v>
      </c>
      <c r="E212" s="4"/>
      <c r="F212" s="11">
        <f t="shared" ref="F212:F219" si="136">IF(D$12=0,0,D212/D$12)</f>
        <v>8.4494454597744281E-2</v>
      </c>
      <c r="G212" s="4"/>
      <c r="H212" s="4">
        <f>SUM(OSRRefH25x_0)</f>
        <v>199738.72999999998</v>
      </c>
      <c r="I212" s="4"/>
      <c r="J212" s="11">
        <f t="shared" ref="J212:J219" si="137">IF(H$12=0,0,H212/H$12)</f>
        <v>0.41882012291045972</v>
      </c>
      <c r="K212" s="4"/>
      <c r="L212" s="4">
        <f t="shared" ref="L212:L219" si="138">+D212-H212</f>
        <v>-157140.91999999998</v>
      </c>
      <c r="M212" s="4"/>
      <c r="N212" s="11">
        <f t="shared" ref="N212:N219" si="139">IF(H212=0,0,L212/H212)</f>
        <v>-0.78673234780255186</v>
      </c>
      <c r="O212" s="10"/>
      <c r="P212" s="4">
        <f>SUM(OSRRefP25x_0)</f>
        <v>42597.810000000005</v>
      </c>
      <c r="Q212" s="4"/>
      <c r="R212" s="11">
        <f t="shared" ref="R212:R219" si="140">IF(P$12=0,0,P212/P$12)</f>
        <v>8.4494454597744281E-2</v>
      </c>
      <c r="S212" s="4"/>
      <c r="T212" s="4">
        <f>SUM(OSRRefT25x_0)</f>
        <v>199738.72999999998</v>
      </c>
      <c r="U212" s="4"/>
      <c r="V212" s="11">
        <f t="shared" ref="V212:V219" si="141">IF(T$12=0,0,T212/T$12)</f>
        <v>0.41882012291045972</v>
      </c>
      <c r="W212" s="4"/>
      <c r="X212" s="4">
        <f t="shared" ref="X212:X219" si="142">+P212-T212</f>
        <v>-157140.91999999998</v>
      </c>
      <c r="Y212" s="4"/>
      <c r="Z212" s="11">
        <f t="shared" ref="Z212:Z219" si="143">IF(T212=0,0,X212/T212)</f>
        <v>-0.78673234780255186</v>
      </c>
    </row>
    <row r="213" spans="1:26" s="24" customFormat="1" hidden="1" outlineLevel="1" x14ac:dyDescent="0.3">
      <c r="A213" s="50"/>
      <c r="B213" s="12" t="str">
        <f>CONCATENATE("          ", "4187", " - ", "NON-TAXABLE SALES-COMPUTER REP")</f>
        <v xml:space="preserve">          4187 - NON-TAXABLE SALES-COMPUTER REP</v>
      </c>
      <c r="C213" s="12"/>
      <c r="D213" s="3">
        <f>0</f>
        <v>0</v>
      </c>
      <c r="E213" s="3"/>
      <c r="F213" s="22">
        <f t="shared" si="136"/>
        <v>0</v>
      </c>
      <c r="G213" s="3"/>
      <c r="H213" s="3">
        <f>--19.99</f>
        <v>19.989999999999998</v>
      </c>
      <c r="I213" s="3"/>
      <c r="J213" s="22">
        <f t="shared" si="137"/>
        <v>4.191582802684332E-5</v>
      </c>
      <c r="K213" s="3"/>
      <c r="L213" s="3">
        <f t="shared" si="138"/>
        <v>-19.989999999999998</v>
      </c>
      <c r="M213" s="3"/>
      <c r="N213" s="22">
        <f t="shared" si="139"/>
        <v>-1</v>
      </c>
      <c r="O213" s="12"/>
      <c r="P213" s="3">
        <f>0</f>
        <v>0</v>
      </c>
      <c r="Q213" s="3"/>
      <c r="R213" s="22">
        <f t="shared" si="140"/>
        <v>0</v>
      </c>
      <c r="S213" s="3"/>
      <c r="T213" s="3">
        <f>--19.99</f>
        <v>19.989999999999998</v>
      </c>
      <c r="U213" s="3"/>
      <c r="V213" s="22">
        <f t="shared" si="141"/>
        <v>4.191582802684332E-5</v>
      </c>
      <c r="W213" s="3"/>
      <c r="X213" s="3">
        <f t="shared" si="142"/>
        <v>-19.989999999999998</v>
      </c>
      <c r="Y213" s="3"/>
      <c r="Z213" s="22">
        <f t="shared" si="143"/>
        <v>-1</v>
      </c>
    </row>
    <row r="214" spans="1:26" s="24" customFormat="1" hidden="1" outlineLevel="1" x14ac:dyDescent="0.3">
      <c r="A214" s="50"/>
      <c r="B214" s="12" t="str">
        <f>CONCATENATE("          ", "9087", " - ", "")</f>
        <v xml:space="preserve">          9087 - </v>
      </c>
      <c r="C214" s="12"/>
      <c r="D214" s="3">
        <f>--73.47</f>
        <v>73.47</v>
      </c>
      <c r="E214" s="3"/>
      <c r="F214" s="22">
        <f t="shared" si="136"/>
        <v>1.4573067440077955E-4</v>
      </c>
      <c r="G214" s="3"/>
      <c r="H214" s="3">
        <f>0</f>
        <v>0</v>
      </c>
      <c r="I214" s="3"/>
      <c r="J214" s="22">
        <f t="shared" si="137"/>
        <v>0</v>
      </c>
      <c r="K214" s="3"/>
      <c r="L214" s="3">
        <f t="shared" si="138"/>
        <v>73.47</v>
      </c>
      <c r="M214" s="3"/>
      <c r="N214" s="22">
        <f t="shared" si="139"/>
        <v>0</v>
      </c>
      <c r="O214" s="12"/>
      <c r="P214" s="3">
        <f>--73.47</f>
        <v>73.47</v>
      </c>
      <c r="Q214" s="3"/>
      <c r="R214" s="22">
        <f t="shared" si="140"/>
        <v>1.4573067440077955E-4</v>
      </c>
      <c r="S214" s="3"/>
      <c r="T214" s="3">
        <f>0</f>
        <v>0</v>
      </c>
      <c r="U214" s="3"/>
      <c r="V214" s="22">
        <f t="shared" si="141"/>
        <v>0</v>
      </c>
      <c r="W214" s="3"/>
      <c r="X214" s="3">
        <f t="shared" si="142"/>
        <v>73.47</v>
      </c>
      <c r="Y214" s="3"/>
      <c r="Z214" s="22">
        <f t="shared" si="143"/>
        <v>0</v>
      </c>
    </row>
    <row r="215" spans="1:26" s="24" customFormat="1" hidden="1" outlineLevel="1" x14ac:dyDescent="0.3">
      <c r="A215" s="50"/>
      <c r="B215" s="12" t="str">
        <f>CONCATENATE("          ", "9150", " - ", "MISC. INCOME")</f>
        <v xml:space="preserve">          9150 - MISC. INCOME</v>
      </c>
      <c r="C215" s="12"/>
      <c r="D215" s="3">
        <f>--34890.36</f>
        <v>34890.36</v>
      </c>
      <c r="E215" s="3"/>
      <c r="F215" s="22">
        <f t="shared" si="136"/>
        <v>6.920642021077969E-2</v>
      </c>
      <c r="G215" s="3"/>
      <c r="H215" s="3">
        <f>--36016.32</f>
        <v>36016.32</v>
      </c>
      <c r="I215" s="3"/>
      <c r="J215" s="22">
        <f t="shared" si="137"/>
        <v>7.552045399098338E-2</v>
      </c>
      <c r="K215" s="3"/>
      <c r="L215" s="3">
        <f t="shared" si="138"/>
        <v>-1125.9599999999991</v>
      </c>
      <c r="M215" s="3"/>
      <c r="N215" s="22">
        <f t="shared" si="139"/>
        <v>-3.1262494335901031E-2</v>
      </c>
      <c r="O215" s="12"/>
      <c r="P215" s="3">
        <f>--34890.36</f>
        <v>34890.36</v>
      </c>
      <c r="Q215" s="3"/>
      <c r="R215" s="22">
        <f t="shared" si="140"/>
        <v>6.920642021077969E-2</v>
      </c>
      <c r="S215" s="3"/>
      <c r="T215" s="3">
        <f>--36016.32</f>
        <v>36016.32</v>
      </c>
      <c r="U215" s="3"/>
      <c r="V215" s="22">
        <f t="shared" si="141"/>
        <v>7.552045399098338E-2</v>
      </c>
      <c r="W215" s="3"/>
      <c r="X215" s="3">
        <f t="shared" si="142"/>
        <v>-1125.9599999999991</v>
      </c>
      <c r="Y215" s="3"/>
      <c r="Z215" s="22">
        <f t="shared" si="143"/>
        <v>-3.1262494335901031E-2</v>
      </c>
    </row>
    <row r="216" spans="1:26" s="24" customFormat="1" hidden="1" outlineLevel="1" x14ac:dyDescent="0.3">
      <c r="A216" s="50"/>
      <c r="B216" s="12" t="str">
        <f>CONCATENATE("          ", "9152", " - ", "MISC. INCOME")</f>
        <v xml:space="preserve">          9152 - MISC. INCOME</v>
      </c>
      <c r="C216" s="12"/>
      <c r="D216" s="3">
        <f>--66.92</f>
        <v>66.92</v>
      </c>
      <c r="E216" s="3"/>
      <c r="F216" s="22">
        <f t="shared" si="136"/>
        <v>1.3273848823873921E-4</v>
      </c>
      <c r="G216" s="3"/>
      <c r="H216" s="3">
        <f>--1474.39</f>
        <v>1474.39</v>
      </c>
      <c r="I216" s="3"/>
      <c r="J216" s="22">
        <f t="shared" si="137"/>
        <v>3.0915596640569048E-3</v>
      </c>
      <c r="K216" s="3"/>
      <c r="L216" s="3">
        <f t="shared" si="138"/>
        <v>-1407.47</v>
      </c>
      <c r="M216" s="3"/>
      <c r="N216" s="22">
        <f t="shared" si="139"/>
        <v>-0.95461173773560581</v>
      </c>
      <c r="O216" s="12"/>
      <c r="P216" s="3">
        <f>--66.92</f>
        <v>66.92</v>
      </c>
      <c r="Q216" s="3"/>
      <c r="R216" s="22">
        <f t="shared" si="140"/>
        <v>1.3273848823873921E-4</v>
      </c>
      <c r="S216" s="3"/>
      <c r="T216" s="3">
        <f>--1474.39</f>
        <v>1474.39</v>
      </c>
      <c r="U216" s="3"/>
      <c r="V216" s="22">
        <f t="shared" si="141"/>
        <v>3.0915596640569048E-3</v>
      </c>
      <c r="W216" s="3"/>
      <c r="X216" s="3">
        <f t="shared" si="142"/>
        <v>-1407.47</v>
      </c>
      <c r="Y216" s="3"/>
      <c r="Z216" s="22">
        <f t="shared" si="143"/>
        <v>-0.95461173773560581</v>
      </c>
    </row>
    <row r="217" spans="1:26" s="24" customFormat="1" hidden="1" outlineLevel="1" x14ac:dyDescent="0.3">
      <c r="A217" s="50"/>
      <c r="B217" s="12" t="str">
        <f>CONCATENATE("          ", "9160", " - ", "MISC. INCOME")</f>
        <v xml:space="preserve">          9160 - MISC. INCOME</v>
      </c>
      <c r="C217" s="12"/>
      <c r="D217" s="3">
        <f>--1238.12</f>
        <v>1238.1199999999999</v>
      </c>
      <c r="E217" s="3"/>
      <c r="F217" s="22">
        <f t="shared" si="136"/>
        <v>2.4558603864038818E-3</v>
      </c>
      <c r="G217" s="3"/>
      <c r="H217" s="3">
        <f>--1363.63</f>
        <v>1363.63</v>
      </c>
      <c r="I217" s="3"/>
      <c r="J217" s="22">
        <f t="shared" si="137"/>
        <v>2.8593136854549455E-3</v>
      </c>
      <c r="K217" s="3"/>
      <c r="L217" s="3">
        <f t="shared" si="138"/>
        <v>-125.51000000000022</v>
      </c>
      <c r="M217" s="3"/>
      <c r="N217" s="22">
        <f t="shared" si="139"/>
        <v>-9.2041096191782384E-2</v>
      </c>
      <c r="O217" s="12"/>
      <c r="P217" s="3">
        <f>--1238.12</f>
        <v>1238.1199999999999</v>
      </c>
      <c r="Q217" s="3"/>
      <c r="R217" s="22">
        <f t="shared" si="140"/>
        <v>2.4558603864038818E-3</v>
      </c>
      <c r="S217" s="3"/>
      <c r="T217" s="3">
        <f>--1363.63</f>
        <v>1363.63</v>
      </c>
      <c r="U217" s="3"/>
      <c r="V217" s="22">
        <f t="shared" si="141"/>
        <v>2.8593136854549455E-3</v>
      </c>
      <c r="W217" s="3"/>
      <c r="X217" s="3">
        <f t="shared" si="142"/>
        <v>-125.51000000000022</v>
      </c>
      <c r="Y217" s="3"/>
      <c r="Z217" s="22">
        <f t="shared" si="143"/>
        <v>-9.2041096191782384E-2</v>
      </c>
    </row>
    <row r="218" spans="1:26" s="24" customFormat="1" hidden="1" outlineLevel="1" x14ac:dyDescent="0.3">
      <c r="A218" s="50"/>
      <c r="B218" s="12" t="str">
        <f>CONCATENATE("          ", "9163", " - ", "MISC. INCOME")</f>
        <v xml:space="preserve">          9163 - MISC. INCOME</v>
      </c>
      <c r="C218" s="12"/>
      <c r="D218" s="3">
        <f>--6328.94</f>
        <v>6328.94</v>
      </c>
      <c r="E218" s="3"/>
      <c r="F218" s="22">
        <f t="shared" si="136"/>
        <v>1.255370483792119E-2</v>
      </c>
      <c r="G218" s="3"/>
      <c r="H218" s="3">
        <f>--160663.9</f>
        <v>160663.9</v>
      </c>
      <c r="I218" s="3"/>
      <c r="J218" s="22">
        <f t="shared" si="137"/>
        <v>0.3368864633577765</v>
      </c>
      <c r="K218" s="3"/>
      <c r="L218" s="3">
        <f t="shared" si="138"/>
        <v>-154334.96</v>
      </c>
      <c r="M218" s="3"/>
      <c r="N218" s="22">
        <f t="shared" si="139"/>
        <v>-0.96060757892718895</v>
      </c>
      <c r="O218" s="12"/>
      <c r="P218" s="3">
        <f>--6328.94</f>
        <v>6328.94</v>
      </c>
      <c r="Q218" s="3"/>
      <c r="R218" s="22">
        <f t="shared" si="140"/>
        <v>1.255370483792119E-2</v>
      </c>
      <c r="S218" s="3"/>
      <c r="T218" s="3">
        <f>--160663.9</f>
        <v>160663.9</v>
      </c>
      <c r="U218" s="3"/>
      <c r="V218" s="22">
        <f t="shared" si="141"/>
        <v>0.3368864633577765</v>
      </c>
      <c r="W218" s="3"/>
      <c r="X218" s="3">
        <f t="shared" si="142"/>
        <v>-154334.96</v>
      </c>
      <c r="Y218" s="3"/>
      <c r="Z218" s="22">
        <f t="shared" si="143"/>
        <v>-0.96060757892718895</v>
      </c>
    </row>
    <row r="219" spans="1:26" s="24" customFormat="1" hidden="1" outlineLevel="1" x14ac:dyDescent="0.3">
      <c r="A219" s="50"/>
      <c r="B219" s="12" t="str">
        <f>CONCATENATE("          ", "9165", " - ", "OTHER INCOME")</f>
        <v xml:space="preserve">          9165 - OTHER INCOME</v>
      </c>
      <c r="C219" s="12"/>
      <c r="D219" s="3">
        <f>0</f>
        <v>0</v>
      </c>
      <c r="E219" s="3"/>
      <c r="F219" s="22">
        <f t="shared" si="136"/>
        <v>0</v>
      </c>
      <c r="G219" s="3"/>
      <c r="H219" s="3">
        <f>--200.5</f>
        <v>200.5</v>
      </c>
      <c r="I219" s="3"/>
      <c r="J219" s="22">
        <f t="shared" si="137"/>
        <v>4.2041638416118491E-4</v>
      </c>
      <c r="K219" s="3"/>
      <c r="L219" s="3">
        <f t="shared" si="138"/>
        <v>-200.5</v>
      </c>
      <c r="M219" s="3"/>
      <c r="N219" s="22">
        <f t="shared" si="139"/>
        <v>-1</v>
      </c>
      <c r="O219" s="12"/>
      <c r="P219" s="3">
        <f>0</f>
        <v>0</v>
      </c>
      <c r="Q219" s="3"/>
      <c r="R219" s="22">
        <f t="shared" si="140"/>
        <v>0</v>
      </c>
      <c r="S219" s="3"/>
      <c r="T219" s="3">
        <f>--200.5</f>
        <v>200.5</v>
      </c>
      <c r="U219" s="3"/>
      <c r="V219" s="22">
        <f t="shared" si="141"/>
        <v>4.2041638416118491E-4</v>
      </c>
      <c r="W219" s="3"/>
      <c r="X219" s="3">
        <f t="shared" si="142"/>
        <v>-200.5</v>
      </c>
      <c r="Y219" s="3"/>
      <c r="Z219" s="22">
        <f t="shared" si="143"/>
        <v>-1</v>
      </c>
    </row>
    <row r="220" spans="1:26" x14ac:dyDescent="0.3">
      <c r="A220" s="9"/>
      <c r="B220" s="10"/>
      <c r="C220" s="10"/>
      <c r="D220" s="2"/>
      <c r="E220" s="2"/>
      <c r="F220" s="6"/>
      <c r="G220" s="2"/>
      <c r="H220" s="2"/>
      <c r="I220" s="2"/>
      <c r="J220" s="6"/>
      <c r="K220" s="2"/>
      <c r="L220" s="2"/>
      <c r="M220" s="2"/>
      <c r="N220" s="6"/>
      <c r="O220" s="10"/>
      <c r="P220" s="2"/>
      <c r="Q220" s="2"/>
      <c r="R220" s="6"/>
      <c r="S220" s="2"/>
      <c r="T220" s="2"/>
      <c r="U220" s="2"/>
      <c r="V220" s="6"/>
      <c r="W220" s="2"/>
      <c r="X220" s="2"/>
      <c r="Y220" s="2"/>
      <c r="Z220" s="6"/>
    </row>
    <row r="221" spans="1:26" s="23" customFormat="1" x14ac:dyDescent="0.3">
      <c r="A221" s="10"/>
      <c r="B221" s="26" t="s">
        <v>276</v>
      </c>
      <c r="C221" s="26"/>
      <c r="D221" s="20">
        <f>+D121-D123+D212</f>
        <v>-563723.07999999984</v>
      </c>
      <c r="E221" s="13"/>
      <c r="F221" s="21">
        <f>IF(D$12=0,0,D221/D$12)</f>
        <v>-1.118167205984546</v>
      </c>
      <c r="G221" s="13"/>
      <c r="H221" s="20">
        <f>+H121-H123+H212</f>
        <v>-360053.69000000006</v>
      </c>
      <c r="I221" s="13"/>
      <c r="J221" s="21">
        <f>IF(H$12=0,0,H221/H$12)</f>
        <v>-0.75497491498100844</v>
      </c>
      <c r="K221" s="16"/>
      <c r="L221" s="20">
        <f>+D221-H221</f>
        <v>-203669.38999999978</v>
      </c>
      <c r="M221" s="16"/>
      <c r="N221" s="21">
        <f>IF(H221=0,0,L221/H221)</f>
        <v>0.56566394306360179</v>
      </c>
      <c r="O221" s="25"/>
      <c r="P221" s="20">
        <f>+P121-P123+P212</f>
        <v>-563723.07999999984</v>
      </c>
      <c r="Q221" s="13"/>
      <c r="R221" s="21">
        <f>IF(P$12=0,0,P221/P$12)</f>
        <v>-1.118167205984546</v>
      </c>
      <c r="S221" s="13"/>
      <c r="T221" s="20">
        <f>+T121-T123+T212</f>
        <v>-360053.69000000006</v>
      </c>
      <c r="U221" s="13"/>
      <c r="V221" s="21">
        <f>IF(T$12=0,0,T221/T$12)</f>
        <v>-0.75497491498100844</v>
      </c>
      <c r="W221" s="16"/>
      <c r="X221" s="20">
        <f>+P221-T221</f>
        <v>-203669.38999999978</v>
      </c>
      <c r="Y221" s="16"/>
      <c r="Z221" s="21">
        <f>IF(T221=0,0,X221/T221)</f>
        <v>0.56566394306360179</v>
      </c>
    </row>
    <row r="222" spans="1:26" x14ac:dyDescent="0.3">
      <c r="A222" s="9"/>
      <c r="B222" s="10"/>
      <c r="C222" s="9"/>
      <c r="D222" s="2"/>
      <c r="E222" s="2"/>
      <c r="F222" s="6"/>
      <c r="G222" s="2"/>
      <c r="H222" s="2"/>
      <c r="I222" s="2"/>
      <c r="J222" s="6"/>
      <c r="K222" s="2"/>
      <c r="L222" s="2"/>
      <c r="M222" s="2"/>
      <c r="N222" s="6"/>
      <c r="P222" s="2"/>
      <c r="Q222" s="2"/>
      <c r="R222" s="6"/>
      <c r="S222" s="2"/>
      <c r="T222" s="2"/>
      <c r="U222" s="2"/>
      <c r="V222" s="6"/>
      <c r="W222" s="2"/>
      <c r="X222" s="2"/>
      <c r="Y222" s="2"/>
      <c r="Z222" s="6"/>
    </row>
    <row r="223" spans="1:26" s="23" customFormat="1" x14ac:dyDescent="0.3">
      <c r="A223" s="51"/>
      <c r="B223" s="10" t="s">
        <v>127</v>
      </c>
      <c r="C223" s="10"/>
      <c r="D223" s="4">
        <v>232914.86</v>
      </c>
      <c r="E223" s="4"/>
      <c r="F223" s="11">
        <f>IF(D$12=0,0,D223/D$12)</f>
        <v>0.4619959116069573</v>
      </c>
      <c r="G223" s="4"/>
      <c r="H223" s="4">
        <v>234703.24</v>
      </c>
      <c r="I223" s="4"/>
      <c r="J223" s="11">
        <f>IF(H$12=0,0,H223/H$12)</f>
        <v>0.49213509980905124</v>
      </c>
      <c r="K223" s="4"/>
      <c r="L223" s="4">
        <f>+D223-H223</f>
        <v>-1788.3800000000047</v>
      </c>
      <c r="M223" s="4"/>
      <c r="N223" s="11">
        <f>IF(H223=0,0,L223/H223)</f>
        <v>-7.6197499446535328E-3</v>
      </c>
      <c r="O223" s="10"/>
      <c r="P223" s="4">
        <v>232914.86</v>
      </c>
      <c r="Q223" s="4"/>
      <c r="R223" s="11">
        <f>IF(P$12=0,0,P223/P$12)</f>
        <v>0.4619959116069573</v>
      </c>
      <c r="S223" s="4"/>
      <c r="T223" s="4">
        <v>234703.24</v>
      </c>
      <c r="U223" s="4"/>
      <c r="V223" s="11">
        <f>IF(T$12=0,0,T223/T$12)</f>
        <v>0.49213509980905124</v>
      </c>
      <c r="W223" s="4"/>
      <c r="X223" s="4">
        <f>+P223-T223</f>
        <v>-1788.3800000000047</v>
      </c>
      <c r="Y223" s="4"/>
      <c r="Z223" s="11">
        <f>IF(T223=0,0,X223/T223)</f>
        <v>-7.6197499446535328E-3</v>
      </c>
    </row>
    <row r="224" spans="1:26" x14ac:dyDescent="0.3">
      <c r="A224" s="9"/>
      <c r="B224" s="10"/>
      <c r="C224" s="10"/>
      <c r="D224" s="2"/>
      <c r="E224" s="2"/>
      <c r="F224" s="6"/>
      <c r="G224" s="2"/>
      <c r="H224" s="2"/>
      <c r="I224" s="2"/>
      <c r="J224" s="6"/>
      <c r="K224" s="2"/>
      <c r="L224" s="2"/>
      <c r="M224" s="2"/>
      <c r="N224" s="6"/>
      <c r="O224" s="10"/>
      <c r="P224" s="2"/>
      <c r="Q224" s="2"/>
      <c r="R224" s="6"/>
      <c r="S224" s="2"/>
      <c r="T224" s="2"/>
      <c r="U224" s="2"/>
      <c r="V224" s="6"/>
      <c r="W224" s="2"/>
      <c r="X224" s="2"/>
      <c r="Y224" s="2"/>
      <c r="Z224" s="6"/>
    </row>
    <row r="225" spans="1:26" s="23" customFormat="1" ht="15" thickBot="1" x14ac:dyDescent="0.35">
      <c r="A225" s="10"/>
      <c r="B225" s="26" t="s">
        <v>125</v>
      </c>
      <c r="C225" s="26"/>
      <c r="D225" s="36">
        <f>+D221-D223</f>
        <v>-796637.93999999983</v>
      </c>
      <c r="E225" s="13"/>
      <c r="F225" s="34">
        <f>IF(D$12=0,0,D225/D$12)</f>
        <v>-1.5801631175915032</v>
      </c>
      <c r="G225" s="13"/>
      <c r="H225" s="36">
        <f>+H221-H223</f>
        <v>-594756.93000000005</v>
      </c>
      <c r="I225" s="13"/>
      <c r="J225" s="34">
        <f>IF(H$12=0,0,H225/H$12)</f>
        <v>-1.2471100147900598</v>
      </c>
      <c r="K225" s="16"/>
      <c r="L225" s="36">
        <f>D225-H225</f>
        <v>-201881.00999999978</v>
      </c>
      <c r="M225" s="16"/>
      <c r="N225" s="34">
        <f>IF(H225=0,0,L225/H225)</f>
        <v>0.33943448124261411</v>
      </c>
      <c r="O225" s="25"/>
      <c r="P225" s="36">
        <f>+P221-P223</f>
        <v>-796637.93999999983</v>
      </c>
      <c r="Q225" s="13"/>
      <c r="R225" s="34">
        <f>IF(P$12=0,0,P225/P$12)</f>
        <v>-1.5801631175915032</v>
      </c>
      <c r="S225" s="13"/>
      <c r="T225" s="36">
        <f>+T221-T223</f>
        <v>-594756.93000000005</v>
      </c>
      <c r="U225" s="13"/>
      <c r="V225" s="34">
        <f>IF(T$12=0,0,T225/T$12)</f>
        <v>-1.2471100147900598</v>
      </c>
      <c r="W225" s="16"/>
      <c r="X225" s="36">
        <f>P225-T225</f>
        <v>-201881.00999999978</v>
      </c>
      <c r="Y225" s="16"/>
      <c r="Z225" s="34">
        <f>IF(T225=0,0,X225/T225)</f>
        <v>0.33943448124261411</v>
      </c>
    </row>
    <row r="226" spans="1:26" ht="15" thickTop="1" x14ac:dyDescent="0.3">
      <c r="A226" s="9"/>
      <c r="B226" s="9"/>
      <c r="C226" s="9"/>
      <c r="D226" s="2"/>
      <c r="E226" s="2"/>
      <c r="F226" s="6"/>
      <c r="G226" s="2"/>
      <c r="H226" s="2"/>
      <c r="I226" s="2"/>
      <c r="J226" s="6"/>
      <c r="K226" s="2"/>
      <c r="L226" s="2"/>
      <c r="M226" s="2"/>
      <c r="N226" s="6"/>
      <c r="P226" s="2"/>
      <c r="Q226" s="2"/>
      <c r="R226" s="6"/>
      <c r="S226" s="2"/>
      <c r="T226" s="2"/>
      <c r="U226" s="2"/>
      <c r="V226" s="6"/>
      <c r="W226" s="2"/>
      <c r="X226" s="2"/>
      <c r="Y226" s="2"/>
      <c r="Z226" s="6"/>
    </row>
    <row r="227" spans="1:26" s="23" customFormat="1" x14ac:dyDescent="0.3">
      <c r="A227" s="51"/>
      <c r="B227" s="10" t="s">
        <v>183</v>
      </c>
      <c r="C227" s="10"/>
      <c r="D227" s="4">
        <f>--18122.3</f>
        <v>18122.3</v>
      </c>
      <c r="E227" s="4"/>
      <c r="F227" s="11">
        <f t="shared" ref="F227:F228" si="144">IF(D$12=0,0,D227/D$12)</f>
        <v>3.5946304623564004E-2</v>
      </c>
      <c r="G227" s="4"/>
      <c r="H227" s="4">
        <f>--463883.16</f>
        <v>463883.16</v>
      </c>
      <c r="I227" s="4"/>
      <c r="J227" s="11">
        <f t="shared" ref="J227:J228" si="145">IF(H$12=0,0,H227/H$12)</f>
        <v>0.97268868229658045</v>
      </c>
      <c r="K227" s="4"/>
      <c r="L227" s="4">
        <f t="shared" ref="L227:L228" si="146">+D227-H227</f>
        <v>-445760.86</v>
      </c>
      <c r="M227" s="4"/>
      <c r="N227" s="11">
        <f t="shared" ref="N227:N228" si="147">IF(H227=0,0,L227/H227)</f>
        <v>-0.96093348161205083</v>
      </c>
      <c r="O227" s="10"/>
      <c r="P227" s="4">
        <f>--18122.3</f>
        <v>18122.3</v>
      </c>
      <c r="Q227" s="4"/>
      <c r="R227" s="11">
        <f t="shared" ref="R227:R228" si="148">IF(P$12=0,0,P227/P$12)</f>
        <v>3.5946304623564004E-2</v>
      </c>
      <c r="S227" s="4"/>
      <c r="T227" s="4">
        <f>--463883.16</f>
        <v>463883.16</v>
      </c>
      <c r="U227" s="4"/>
      <c r="V227" s="11">
        <f t="shared" ref="V227:V228" si="149">IF(T$12=0,0,T227/T$12)</f>
        <v>0.97268868229658045</v>
      </c>
      <c r="W227" s="4"/>
      <c r="X227" s="4">
        <f t="shared" ref="X227:X228" si="150">+P227-T227</f>
        <v>-445760.86</v>
      </c>
      <c r="Y227" s="4"/>
      <c r="Z227" s="11">
        <f t="shared" ref="Z227:Z228" si="151">IF(T227=0,0,X227/T227)</f>
        <v>-0.96093348161205083</v>
      </c>
    </row>
    <row r="228" spans="1:26" s="23" customFormat="1" x14ac:dyDescent="0.3">
      <c r="A228" s="51"/>
      <c r="B228" s="10" t="s">
        <v>81</v>
      </c>
      <c r="C228" s="10"/>
      <c r="D228" s="4">
        <f>--10182.42</f>
        <v>10182.42</v>
      </c>
      <c r="E228" s="4"/>
      <c r="F228" s="11">
        <f t="shared" si="144"/>
        <v>2.019723606413483E-2</v>
      </c>
      <c r="G228" s="4"/>
      <c r="H228" s="4">
        <f>-81628.27</f>
        <v>-81628.27</v>
      </c>
      <c r="I228" s="4"/>
      <c r="J228" s="11">
        <f t="shared" si="145"/>
        <v>-0.17116140707597469</v>
      </c>
      <c r="K228" s="4"/>
      <c r="L228" s="4">
        <f t="shared" si="146"/>
        <v>91810.69</v>
      </c>
      <c r="M228" s="4"/>
      <c r="N228" s="11">
        <f t="shared" si="147"/>
        <v>-1.1247413426745416</v>
      </c>
      <c r="O228" s="10"/>
      <c r="P228" s="4">
        <f>--10182.42</f>
        <v>10182.42</v>
      </c>
      <c r="Q228" s="4"/>
      <c r="R228" s="11">
        <f t="shared" si="148"/>
        <v>2.019723606413483E-2</v>
      </c>
      <c r="S228" s="4"/>
      <c r="T228" s="4">
        <f>-81628.27</f>
        <v>-81628.27</v>
      </c>
      <c r="U228" s="4"/>
      <c r="V228" s="11">
        <f t="shared" si="149"/>
        <v>-0.17116140707597469</v>
      </c>
      <c r="W228" s="4"/>
      <c r="X228" s="4">
        <f t="shared" si="150"/>
        <v>91810.69</v>
      </c>
      <c r="Y228" s="4"/>
      <c r="Z228" s="11">
        <f t="shared" si="151"/>
        <v>-1.1247413426745416</v>
      </c>
    </row>
    <row r="229" spans="1:26" x14ac:dyDescent="0.3">
      <c r="A229" s="9"/>
      <c r="B229" s="9"/>
      <c r="C229" s="9"/>
      <c r="D229" s="2"/>
      <c r="E229" s="2"/>
      <c r="F229" s="6"/>
      <c r="G229" s="2"/>
      <c r="H229" s="2"/>
      <c r="I229" s="2"/>
      <c r="J229" s="6"/>
      <c r="K229" s="2"/>
      <c r="L229" s="2"/>
      <c r="M229" s="2"/>
      <c r="N229" s="6"/>
      <c r="P229" s="2"/>
      <c r="Q229" s="2"/>
      <c r="R229" s="6"/>
      <c r="S229" s="2"/>
      <c r="T229" s="2"/>
      <c r="U229" s="2"/>
      <c r="V229" s="6"/>
      <c r="W229" s="2"/>
      <c r="X229" s="2"/>
      <c r="Y229" s="2"/>
      <c r="Z229" s="6"/>
    </row>
    <row r="230" spans="1:26" s="23" customFormat="1" ht="15" thickBot="1" x14ac:dyDescent="0.35">
      <c r="A230" s="10"/>
      <c r="B230" s="26" t="s">
        <v>293</v>
      </c>
      <c r="C230" s="26"/>
      <c r="D230" s="31">
        <f>SUM(D225:D229)</f>
        <v>-768333.21999999974</v>
      </c>
      <c r="E230" s="13"/>
      <c r="F230" s="33">
        <f>IF(D$12=0,0,D230/D$12)</f>
        <v>-1.5240195769038043</v>
      </c>
      <c r="G230" s="13"/>
      <c r="H230" s="31">
        <f>SUM(H225:H229)</f>
        <v>-212502.0400000001</v>
      </c>
      <c r="I230" s="13"/>
      <c r="J230" s="33">
        <f>IF(H$12=0,0,H230/H$12)</f>
        <v>-0.44558273956945393</v>
      </c>
      <c r="K230" s="16"/>
      <c r="L230" s="31">
        <f>+D230-H230</f>
        <v>-555831.1799999997</v>
      </c>
      <c r="M230" s="16"/>
      <c r="N230" s="33">
        <f>IF(H230=0,0,L230/H230)</f>
        <v>2.6156510309265713</v>
      </c>
      <c r="O230" s="25"/>
      <c r="P230" s="31">
        <f>SUM(P225:P229)</f>
        <v>-768333.21999999974</v>
      </c>
      <c r="Q230" s="13"/>
      <c r="R230" s="33">
        <f>IF(P$12=0,0,P230/P$12)</f>
        <v>-1.5240195769038043</v>
      </c>
      <c r="S230" s="13"/>
      <c r="T230" s="31">
        <f>SUM(T225:T229)</f>
        <v>-212502.0400000001</v>
      </c>
      <c r="U230" s="13"/>
      <c r="V230" s="33">
        <f>IF(T$12=0,0,T230/T$12)</f>
        <v>-0.44558273956945393</v>
      </c>
      <c r="W230" s="16"/>
      <c r="X230" s="31">
        <f>+P230-T230</f>
        <v>-555831.1799999997</v>
      </c>
      <c r="Y230" s="16"/>
      <c r="Z230" s="33">
        <f>IF(T230=0,0,X230/T230)</f>
        <v>2.6156510309265713</v>
      </c>
    </row>
    <row r="231" spans="1:26" ht="15" thickTop="1" x14ac:dyDescent="0.3">
      <c r="A231" s="9"/>
      <c r="C231" s="9"/>
      <c r="D231" s="18"/>
      <c r="E231" s="18"/>
      <c r="G231" s="18"/>
      <c r="H231" s="18"/>
      <c r="I231" s="18"/>
      <c r="J231" s="43"/>
      <c r="K231" s="18"/>
      <c r="L231" s="18"/>
      <c r="M231" s="18"/>
      <c r="P231" s="18"/>
      <c r="Q231" s="18"/>
      <c r="R231" s="43"/>
      <c r="S231" s="18"/>
      <c r="T231" s="18"/>
      <c r="U231" s="18"/>
      <c r="V231" s="43"/>
      <c r="W231" s="18"/>
      <c r="X231" s="18"/>
    </row>
    <row r="232" spans="1:26" x14ac:dyDescent="0.3">
      <c r="A232" s="9"/>
      <c r="B232" s="59">
        <v>44462.66688287037</v>
      </c>
      <c r="D232" s="18"/>
      <c r="E232" s="18"/>
      <c r="G232" s="18"/>
      <c r="H232" s="18"/>
      <c r="I232" s="18"/>
      <c r="J232" s="43"/>
      <c r="K232" s="18"/>
      <c r="L232" s="18"/>
      <c r="M232" s="18"/>
      <c r="P232" s="18"/>
      <c r="Q232" s="18"/>
      <c r="R232" s="43"/>
      <c r="S232" s="18"/>
      <c r="T232" s="18"/>
      <c r="U232" s="18"/>
      <c r="V232" s="43"/>
      <c r="W232" s="18"/>
      <c r="X232" s="18"/>
    </row>
    <row r="233" spans="1:26" x14ac:dyDescent="0.3">
      <c r="A233" s="9"/>
      <c r="B233" s="57" t="s">
        <v>56</v>
      </c>
      <c r="D233" s="18"/>
      <c r="E233" s="18"/>
      <c r="G233" s="18"/>
      <c r="H233" s="18"/>
      <c r="I233" s="18"/>
      <c r="J233" s="43"/>
      <c r="K233" s="18"/>
      <c r="L233" s="18"/>
      <c r="M233" s="18"/>
      <c r="P233" s="18"/>
      <c r="Q233" s="18"/>
      <c r="R233" s="43"/>
      <c r="S233" s="18"/>
      <c r="T233" s="18"/>
      <c r="U233" s="18"/>
      <c r="V233" s="43"/>
      <c r="W233" s="18"/>
      <c r="X233" s="18"/>
    </row>
    <row r="234" spans="1:26" x14ac:dyDescent="0.3">
      <c r="A234" s="9"/>
      <c r="B234" s="61"/>
      <c r="D234" s="18"/>
      <c r="E234" s="18"/>
      <c r="G234" s="18"/>
      <c r="H234" s="18"/>
      <c r="I234" s="18"/>
      <c r="J234" s="43"/>
      <c r="K234" s="18"/>
      <c r="L234" s="18"/>
      <c r="M234" s="18"/>
      <c r="P234" s="18"/>
      <c r="Q234" s="18"/>
      <c r="R234" s="43"/>
      <c r="S234" s="18"/>
      <c r="T234" s="18"/>
      <c r="U234" s="18"/>
      <c r="V234" s="43"/>
      <c r="W234" s="18"/>
      <c r="X234" s="18"/>
    </row>
    <row r="235" spans="1:26" x14ac:dyDescent="0.3"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182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182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292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3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3">
      <c r="A22" s="10"/>
      <c r="B22" s="26" t="s">
        <v>276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3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51"/>
      <c r="B24" s="10" t="s">
        <v>127</v>
      </c>
      <c r="C24" s="10"/>
      <c r="D24" s="4"/>
      <c r="E24" s="4"/>
      <c r="F24" s="11">
        <f>IF(D$12=0,0,D24/D$12)</f>
        <v>0</v>
      </c>
      <c r="G24" s="4"/>
      <c r="H24" s="4"/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/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" thickBot="1" x14ac:dyDescent="0.35">
      <c r="A26" s="10"/>
      <c r="B26" s="26" t="s">
        <v>125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" thickTop="1" x14ac:dyDescent="0.3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1"/>
      <c r="B28" s="10" t="s">
        <v>183</v>
      </c>
      <c r="C28" s="10"/>
      <c r="D28" s="4">
        <f>--18122.3</f>
        <v>18122.3</v>
      </c>
      <c r="E28" s="4"/>
      <c r="F28" s="11">
        <f t="shared" ref="F28:F29" si="0">IF(D$12=0,0,D28/D$12)</f>
        <v>0</v>
      </c>
      <c r="G28" s="4"/>
      <c r="H28" s="4">
        <f>--463883.16</f>
        <v>463883.16</v>
      </c>
      <c r="I28" s="4"/>
      <c r="J28" s="11">
        <f t="shared" ref="J28:J29" si="1">IF(H$12=0,0,H28/H$12)</f>
        <v>0</v>
      </c>
      <c r="K28" s="4"/>
      <c r="L28" s="4">
        <f t="shared" ref="L28:L29" si="2">+D28-H28</f>
        <v>-445760.86</v>
      </c>
      <c r="M28" s="4"/>
      <c r="N28" s="11">
        <f t="shared" ref="N28:N29" si="3">IF(H28=0,0,L28/H28)</f>
        <v>-0.96093348161205083</v>
      </c>
      <c r="O28" s="10"/>
      <c r="P28" s="4">
        <f>--18122.3</f>
        <v>18122.3</v>
      </c>
      <c r="Q28" s="4"/>
      <c r="R28" s="11">
        <f t="shared" ref="R28:R29" si="4">IF(P$12=0,0,P28/P$12)</f>
        <v>0</v>
      </c>
      <c r="S28" s="4"/>
      <c r="T28" s="4">
        <f>--463883.16</f>
        <v>463883.16</v>
      </c>
      <c r="U28" s="4"/>
      <c r="V28" s="11">
        <f t="shared" ref="V28:V29" si="5">IF(T$12=0,0,T28/T$12)</f>
        <v>0</v>
      </c>
      <c r="W28" s="4"/>
      <c r="X28" s="4">
        <f t="shared" ref="X28:X29" si="6">+P28-T28</f>
        <v>-445760.86</v>
      </c>
      <c r="Y28" s="4"/>
      <c r="Z28" s="11">
        <f t="shared" ref="Z28:Z29" si="7">IF(T28=0,0,X28/T28)</f>
        <v>-0.96093348161205083</v>
      </c>
    </row>
    <row r="29" spans="1:26" s="23" customFormat="1" x14ac:dyDescent="0.3">
      <c r="A29" s="51"/>
      <c r="B29" s="10" t="s">
        <v>81</v>
      </c>
      <c r="C29" s="10"/>
      <c r="D29" s="4">
        <f>--10182.42</f>
        <v>10182.42</v>
      </c>
      <c r="E29" s="4"/>
      <c r="F29" s="11">
        <f t="shared" si="0"/>
        <v>0</v>
      </c>
      <c r="G29" s="4"/>
      <c r="H29" s="4">
        <f>-81628.27</f>
        <v>-81628.27</v>
      </c>
      <c r="I29" s="4"/>
      <c r="J29" s="11">
        <f t="shared" si="1"/>
        <v>0</v>
      </c>
      <c r="K29" s="4"/>
      <c r="L29" s="4">
        <f t="shared" si="2"/>
        <v>91810.69</v>
      </c>
      <c r="M29" s="4"/>
      <c r="N29" s="11">
        <f t="shared" si="3"/>
        <v>-1.1247413426745416</v>
      </c>
      <c r="O29" s="10"/>
      <c r="P29" s="4">
        <f>--10182.42</f>
        <v>10182.42</v>
      </c>
      <c r="Q29" s="4"/>
      <c r="R29" s="11">
        <f t="shared" si="4"/>
        <v>0</v>
      </c>
      <c r="S29" s="4"/>
      <c r="T29" s="4">
        <f>-81628.27</f>
        <v>-81628.27</v>
      </c>
      <c r="U29" s="4"/>
      <c r="V29" s="11">
        <f t="shared" si="5"/>
        <v>0</v>
      </c>
      <c r="W29" s="4"/>
      <c r="X29" s="4">
        <f t="shared" si="6"/>
        <v>91810.69</v>
      </c>
      <c r="Y29" s="4"/>
      <c r="Z29" s="11">
        <f t="shared" si="7"/>
        <v>-1.1247413426745416</v>
      </c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293</v>
      </c>
      <c r="C31" s="26"/>
      <c r="D31" s="31">
        <f>SUM(D26:D30)</f>
        <v>28304.720000000001</v>
      </c>
      <c r="E31" s="13"/>
      <c r="F31" s="33">
        <f>IF(D$12=0,0,D31/D$12)</f>
        <v>0</v>
      </c>
      <c r="G31" s="13"/>
      <c r="H31" s="31">
        <f>SUM(H26:H30)</f>
        <v>382254.88999999996</v>
      </c>
      <c r="I31" s="13"/>
      <c r="J31" s="33">
        <f>IF(H$12=0,0,H31/H$12)</f>
        <v>0</v>
      </c>
      <c r="K31" s="16"/>
      <c r="L31" s="31">
        <f>+D31-H31</f>
        <v>-353950.16999999993</v>
      </c>
      <c r="M31" s="16"/>
      <c r="N31" s="33">
        <f>IF(H31=0,0,L31/H31)</f>
        <v>-0.92595328211497818</v>
      </c>
      <c r="O31" s="25"/>
      <c r="P31" s="31">
        <f>SUM(P26:P30)</f>
        <v>28304.720000000001</v>
      </c>
      <c r="Q31" s="13"/>
      <c r="R31" s="33">
        <f>IF(P$12=0,0,P31/P$12)</f>
        <v>0</v>
      </c>
      <c r="S31" s="13"/>
      <c r="T31" s="31">
        <f>SUM(T26:T30)</f>
        <v>382254.88999999996</v>
      </c>
      <c r="U31" s="13"/>
      <c r="V31" s="33">
        <f>IF(T$12=0,0,T31/T$12)</f>
        <v>0</v>
      </c>
      <c r="W31" s="16"/>
      <c r="X31" s="31">
        <f>+P31-T31</f>
        <v>-353950.16999999993</v>
      </c>
      <c r="Y31" s="16"/>
      <c r="Z31" s="33">
        <f>IF(T31=0,0,X31/T31)</f>
        <v>-0.92595328211497818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9">
        <v>44462.666930011575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7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292</v>
      </c>
      <c r="C20" s="10"/>
      <c r="D20" s="4">
        <f>SUM(0)</f>
        <v>0</v>
      </c>
      <c r="E20" s="4"/>
      <c r="F20" s="11">
        <f>IF(D$12=0,0,D20/D$12)</f>
        <v>0</v>
      </c>
      <c r="G20" s="4"/>
      <c r="H20" s="4">
        <f>SUM(0)</f>
        <v>0</v>
      </c>
      <c r="I20" s="4"/>
      <c r="J20" s="11">
        <f>IF(H$12=0,0,H20/H$12)</f>
        <v>0</v>
      </c>
      <c r="K20" s="4"/>
      <c r="L20" s="4">
        <f>+D20-H20</f>
        <v>0</v>
      </c>
      <c r="M20" s="4"/>
      <c r="N20" s="11">
        <f>IF(H20=0,0,L20/H20)</f>
        <v>0</v>
      </c>
      <c r="O20" s="10"/>
      <c r="P20" s="4">
        <f>SUM(0)</f>
        <v>0</v>
      </c>
      <c r="Q20" s="4"/>
      <c r="R20" s="11">
        <f>IF(P$12=0,0,P20/P$12)</f>
        <v>0</v>
      </c>
      <c r="S20" s="4"/>
      <c r="T20" s="4">
        <f>SUM(0)</f>
        <v>0</v>
      </c>
      <c r="U20" s="4"/>
      <c r="V20" s="11">
        <f>IF(T$12=0,0,T20/T$12)</f>
        <v>0</v>
      </c>
      <c r="W20" s="4"/>
      <c r="X20" s="4">
        <f>+P20-T20</f>
        <v>0</v>
      </c>
      <c r="Y20" s="4"/>
      <c r="Z20" s="11">
        <f>IF(T20=0,0,X20/T20)</f>
        <v>0</v>
      </c>
    </row>
    <row r="21" spans="1:26" x14ac:dyDescent="0.3">
      <c r="A21" s="9"/>
      <c r="B21" s="10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10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23" customFormat="1" x14ac:dyDescent="0.3">
      <c r="A22" s="10"/>
      <c r="B22" s="26" t="s">
        <v>276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3">
      <c r="A23" s="9"/>
      <c r="B23" s="10"/>
      <c r="C23" s="9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51"/>
      <c r="B24" s="10" t="s">
        <v>127</v>
      </c>
      <c r="C24" s="10"/>
      <c r="D24" s="4"/>
      <c r="E24" s="4"/>
      <c r="F24" s="11">
        <f>IF(D$12=0,0,D24/D$12)</f>
        <v>0</v>
      </c>
      <c r="G24" s="4"/>
      <c r="H24" s="4"/>
      <c r="I24" s="4"/>
      <c r="J24" s="11">
        <f>IF(H$12=0,0,H24/H$12)</f>
        <v>0</v>
      </c>
      <c r="K24" s="4"/>
      <c r="L24" s="4">
        <f>+D24-H24</f>
        <v>0</v>
      </c>
      <c r="M24" s="4"/>
      <c r="N24" s="11">
        <f>IF(H24=0,0,L24/H24)</f>
        <v>0</v>
      </c>
      <c r="O24" s="10"/>
      <c r="P24" s="4"/>
      <c r="Q24" s="4"/>
      <c r="R24" s="11">
        <f>IF(P$12=0,0,P24/P$12)</f>
        <v>0</v>
      </c>
      <c r="S24" s="4"/>
      <c r="T24" s="4"/>
      <c r="U24" s="4"/>
      <c r="V24" s="11">
        <f>IF(T$12=0,0,T24/T$12)</f>
        <v>0</v>
      </c>
      <c r="W24" s="4"/>
      <c r="X24" s="4">
        <f>+P24-T24</f>
        <v>0</v>
      </c>
      <c r="Y24" s="4"/>
      <c r="Z24" s="11">
        <f>IF(T24=0,0,X24/T24)</f>
        <v>0</v>
      </c>
    </row>
    <row r="25" spans="1:26" x14ac:dyDescent="0.3">
      <c r="A25" s="9"/>
      <c r="B25" s="10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10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ht="15" thickBot="1" x14ac:dyDescent="0.35">
      <c r="A26" s="10"/>
      <c r="B26" s="26" t="s">
        <v>125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" thickTop="1" x14ac:dyDescent="0.3">
      <c r="A27" s="9"/>
      <c r="B27" s="9"/>
      <c r="C27" s="9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51"/>
      <c r="B28" s="10" t="s">
        <v>183</v>
      </c>
      <c r="C28" s="10"/>
      <c r="D28" s="4">
        <f>--18122.3</f>
        <v>18122.3</v>
      </c>
      <c r="E28" s="4"/>
      <c r="F28" s="11">
        <f t="shared" ref="F28:F29" si="0">IF(D$12=0,0,D28/D$12)</f>
        <v>0</v>
      </c>
      <c r="G28" s="4"/>
      <c r="H28" s="4">
        <f>--463883.16</f>
        <v>463883.16</v>
      </c>
      <c r="I28" s="4"/>
      <c r="J28" s="11">
        <f t="shared" ref="J28:J29" si="1">IF(H$12=0,0,H28/H$12)</f>
        <v>0</v>
      </c>
      <c r="K28" s="4"/>
      <c r="L28" s="4">
        <f t="shared" ref="L28:L29" si="2">+D28-H28</f>
        <v>-445760.86</v>
      </c>
      <c r="M28" s="4"/>
      <c r="N28" s="11">
        <f t="shared" ref="N28:N29" si="3">IF(H28=0,0,L28/H28)</f>
        <v>-0.96093348161205083</v>
      </c>
      <c r="O28" s="10"/>
      <c r="P28" s="4">
        <f>--18122.3</f>
        <v>18122.3</v>
      </c>
      <c r="Q28" s="4"/>
      <c r="R28" s="11">
        <f t="shared" ref="R28:R29" si="4">IF(P$12=0,0,P28/P$12)</f>
        <v>0</v>
      </c>
      <c r="S28" s="4"/>
      <c r="T28" s="4">
        <f>--463883.16</f>
        <v>463883.16</v>
      </c>
      <c r="U28" s="4"/>
      <c r="V28" s="11">
        <f t="shared" ref="V28:V29" si="5">IF(T$12=0,0,T28/T$12)</f>
        <v>0</v>
      </c>
      <c r="W28" s="4"/>
      <c r="X28" s="4">
        <f t="shared" ref="X28:X29" si="6">+P28-T28</f>
        <v>-445760.86</v>
      </c>
      <c r="Y28" s="4"/>
      <c r="Z28" s="11">
        <f t="shared" ref="Z28:Z29" si="7">IF(T28=0,0,X28/T28)</f>
        <v>-0.96093348161205083</v>
      </c>
    </row>
    <row r="29" spans="1:26" s="23" customFormat="1" x14ac:dyDescent="0.3">
      <c r="A29" s="51"/>
      <c r="B29" s="10" t="s">
        <v>81</v>
      </c>
      <c r="C29" s="10"/>
      <c r="D29" s="4">
        <f>--10182.42</f>
        <v>10182.42</v>
      </c>
      <c r="E29" s="4"/>
      <c r="F29" s="11">
        <f t="shared" si="0"/>
        <v>0</v>
      </c>
      <c r="G29" s="4"/>
      <c r="H29" s="4">
        <f>-81628.27</f>
        <v>-81628.27</v>
      </c>
      <c r="I29" s="4"/>
      <c r="J29" s="11">
        <f t="shared" si="1"/>
        <v>0</v>
      </c>
      <c r="K29" s="4"/>
      <c r="L29" s="4">
        <f t="shared" si="2"/>
        <v>91810.69</v>
      </c>
      <c r="M29" s="4"/>
      <c r="N29" s="11">
        <f t="shared" si="3"/>
        <v>-1.1247413426745416</v>
      </c>
      <c r="O29" s="10"/>
      <c r="P29" s="4">
        <f>--10182.42</f>
        <v>10182.42</v>
      </c>
      <c r="Q29" s="4"/>
      <c r="R29" s="11">
        <f t="shared" si="4"/>
        <v>0</v>
      </c>
      <c r="S29" s="4"/>
      <c r="T29" s="4">
        <f>-81628.27</f>
        <v>-81628.27</v>
      </c>
      <c r="U29" s="4"/>
      <c r="V29" s="11">
        <f t="shared" si="5"/>
        <v>0</v>
      </c>
      <c r="W29" s="4"/>
      <c r="X29" s="4">
        <f t="shared" si="6"/>
        <v>91810.69</v>
      </c>
      <c r="Y29" s="4"/>
      <c r="Z29" s="11">
        <f t="shared" si="7"/>
        <v>-1.1247413426745416</v>
      </c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293</v>
      </c>
      <c r="C31" s="26"/>
      <c r="D31" s="31">
        <f>SUM(D26:D30)</f>
        <v>28304.720000000001</v>
      </c>
      <c r="E31" s="13"/>
      <c r="F31" s="33">
        <f>IF(D$12=0,0,D31/D$12)</f>
        <v>0</v>
      </c>
      <c r="G31" s="13"/>
      <c r="H31" s="31">
        <f>SUM(H26:H30)</f>
        <v>382254.88999999996</v>
      </c>
      <c r="I31" s="13"/>
      <c r="J31" s="33">
        <f>IF(H$12=0,0,H31/H$12)</f>
        <v>0</v>
      </c>
      <c r="K31" s="16"/>
      <c r="L31" s="31">
        <f>+D31-H31</f>
        <v>-353950.16999999993</v>
      </c>
      <c r="M31" s="16"/>
      <c r="N31" s="33">
        <f>IF(H31=0,0,L31/H31)</f>
        <v>-0.92595328211497818</v>
      </c>
      <c r="O31" s="25"/>
      <c r="P31" s="31">
        <f>SUM(P26:P30)</f>
        <v>28304.720000000001</v>
      </c>
      <c r="Q31" s="13"/>
      <c r="R31" s="33">
        <f>IF(P$12=0,0,P31/P$12)</f>
        <v>0</v>
      </c>
      <c r="S31" s="13"/>
      <c r="T31" s="31">
        <f>SUM(T26:T30)</f>
        <v>382254.88999999996</v>
      </c>
      <c r="U31" s="13"/>
      <c r="V31" s="33">
        <f>IF(T$12=0,0,T31/T$12)</f>
        <v>0</v>
      </c>
      <c r="W31" s="16"/>
      <c r="X31" s="31">
        <f>+P31-T31</f>
        <v>-353950.16999999993</v>
      </c>
      <c r="Y31" s="16"/>
      <c r="Z31" s="33">
        <f>IF(T31=0,0,X31/T31)</f>
        <v>-0.92595328211497818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9">
        <v>44462.666945868055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7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138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232914.85999999996</v>
      </c>
      <c r="E18" s="19"/>
      <c r="F18" s="35">
        <f t="shared" ref="F18:F29" si="0">IF(D$12=0,0,D18/D$12)</f>
        <v>0</v>
      </c>
      <c r="G18" s="19"/>
      <c r="H18" s="19">
        <f>SUM(OSRRefH22x_0)</f>
        <v>234703.24000000005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-1788.380000000092</v>
      </c>
      <c r="M18" s="4"/>
      <c r="N18" s="35">
        <f t="shared" ref="N18:N29" si="3">IF(H18=0,0,L18/H18)</f>
        <v>-7.6197499446539023E-3</v>
      </c>
      <c r="O18" s="10"/>
      <c r="P18" s="19">
        <f>SUM(OSRRefP22x_0)</f>
        <v>232914.85999999996</v>
      </c>
      <c r="Q18" s="19"/>
      <c r="R18" s="35">
        <f t="shared" ref="R18:R29" si="4">IF(P$12=0,0,P18/P$12)</f>
        <v>0</v>
      </c>
      <c r="S18" s="19"/>
      <c r="T18" s="19">
        <f>SUM(OSRRefT22x_0)</f>
        <v>234703.24000000005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-1788.380000000092</v>
      </c>
      <c r="Y18" s="4"/>
      <c r="Z18" s="35">
        <f t="shared" ref="Z18:Z29" si="7">IF(T18=0,0,X18/T18)</f>
        <v>-7.6197499446539023E-3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78201.42</v>
      </c>
      <c r="E19" s="1"/>
      <c r="F19" s="5">
        <f t="shared" si="0"/>
        <v>0</v>
      </c>
      <c r="G19" s="1"/>
      <c r="H19" s="1">
        <f>SUM(OSRRefH22_0x_0)</f>
        <v>84138.92</v>
      </c>
      <c r="I19" s="1"/>
      <c r="J19" s="5">
        <f t="shared" si="1"/>
        <v>0</v>
      </c>
      <c r="K19" s="1"/>
      <c r="L19" s="1">
        <f t="shared" si="2"/>
        <v>-5937.5</v>
      </c>
      <c r="M19" s="1"/>
      <c r="N19" s="5">
        <f t="shared" si="3"/>
        <v>-7.0567818079908806E-2</v>
      </c>
      <c r="O19" s="14"/>
      <c r="P19" s="1">
        <f>SUM(OSRRefP22_0x_0)</f>
        <v>78201.42</v>
      </c>
      <c r="Q19" s="1"/>
      <c r="R19" s="5">
        <f t="shared" si="4"/>
        <v>0</v>
      </c>
      <c r="S19" s="1"/>
      <c r="T19" s="1">
        <f>SUM(OSRRefT22_0x_0)</f>
        <v>84138.92</v>
      </c>
      <c r="U19" s="1"/>
      <c r="V19" s="5">
        <f t="shared" si="5"/>
        <v>0</v>
      </c>
      <c r="W19" s="1"/>
      <c r="X19" s="1">
        <f t="shared" si="6"/>
        <v>-5937.5</v>
      </c>
      <c r="Y19" s="1"/>
      <c r="Z19" s="5">
        <f t="shared" si="7"/>
        <v>-7.0567818079908806E-2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7407.51</v>
      </c>
      <c r="E20" s="3"/>
      <c r="F20" s="7">
        <f t="shared" si="0"/>
        <v>0</v>
      </c>
      <c r="G20" s="3"/>
      <c r="H20" s="8">
        <v>7398.29</v>
      </c>
      <c r="I20" s="3"/>
      <c r="J20" s="7">
        <f t="shared" si="1"/>
        <v>0</v>
      </c>
      <c r="K20" s="3"/>
      <c r="L20" s="8">
        <f t="shared" si="2"/>
        <v>9.2200000000002547</v>
      </c>
      <c r="M20" s="3"/>
      <c r="N20" s="7">
        <f t="shared" si="3"/>
        <v>1.2462339270291182E-3</v>
      </c>
      <c r="O20" s="12"/>
      <c r="P20" s="8">
        <v>7407.51</v>
      </c>
      <c r="Q20" s="3"/>
      <c r="R20" s="7">
        <f t="shared" si="4"/>
        <v>0</v>
      </c>
      <c r="S20" s="3"/>
      <c r="T20" s="8">
        <v>7398.29</v>
      </c>
      <c r="U20" s="3"/>
      <c r="V20" s="7">
        <f t="shared" si="5"/>
        <v>0</v>
      </c>
      <c r="W20" s="3"/>
      <c r="X20" s="8">
        <f t="shared" si="6"/>
        <v>9.2200000000002547</v>
      </c>
      <c r="Y20" s="3"/>
      <c r="Z20" s="7">
        <f t="shared" si="7"/>
        <v>1.2462339270291182E-3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1424.37</v>
      </c>
      <c r="E21" s="3"/>
      <c r="F21" s="7">
        <f t="shared" si="0"/>
        <v>0</v>
      </c>
      <c r="G21" s="3"/>
      <c r="H21" s="8">
        <v>597.22</v>
      </c>
      <c r="I21" s="3"/>
      <c r="J21" s="7">
        <f t="shared" si="1"/>
        <v>0</v>
      </c>
      <c r="K21" s="3"/>
      <c r="L21" s="8">
        <f t="shared" si="2"/>
        <v>827.14999999999986</v>
      </c>
      <c r="M21" s="3"/>
      <c r="N21" s="7">
        <f t="shared" si="3"/>
        <v>1.3850005023274503</v>
      </c>
      <c r="O21" s="12"/>
      <c r="P21" s="8">
        <v>1424.37</v>
      </c>
      <c r="Q21" s="3"/>
      <c r="R21" s="7">
        <f t="shared" si="4"/>
        <v>0</v>
      </c>
      <c r="S21" s="3"/>
      <c r="T21" s="8">
        <v>597.22</v>
      </c>
      <c r="U21" s="3"/>
      <c r="V21" s="7">
        <f t="shared" si="5"/>
        <v>0</v>
      </c>
      <c r="W21" s="3"/>
      <c r="X21" s="8">
        <f t="shared" si="6"/>
        <v>827.14999999999986</v>
      </c>
      <c r="Y21" s="3"/>
      <c r="Z21" s="7">
        <f t="shared" si="7"/>
        <v>1.3850005023274503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22410.55</v>
      </c>
      <c r="E22" s="3"/>
      <c r="F22" s="7">
        <f t="shared" si="0"/>
        <v>0</v>
      </c>
      <c r="G22" s="3"/>
      <c r="H22" s="8">
        <v>22589.05</v>
      </c>
      <c r="I22" s="3"/>
      <c r="J22" s="7">
        <f t="shared" si="1"/>
        <v>0</v>
      </c>
      <c r="K22" s="3"/>
      <c r="L22" s="8">
        <f t="shared" si="2"/>
        <v>-178.5</v>
      </c>
      <c r="M22" s="3"/>
      <c r="N22" s="7">
        <f t="shared" si="3"/>
        <v>-7.9020587408501018E-3</v>
      </c>
      <c r="O22" s="12"/>
      <c r="P22" s="8">
        <v>22410.55</v>
      </c>
      <c r="Q22" s="3"/>
      <c r="R22" s="7">
        <f t="shared" si="4"/>
        <v>0</v>
      </c>
      <c r="S22" s="3"/>
      <c r="T22" s="8">
        <v>22589.05</v>
      </c>
      <c r="U22" s="3"/>
      <c r="V22" s="7">
        <f t="shared" si="5"/>
        <v>0</v>
      </c>
      <c r="W22" s="3"/>
      <c r="X22" s="8">
        <f t="shared" si="6"/>
        <v>-178.5</v>
      </c>
      <c r="Y22" s="3"/>
      <c r="Z22" s="7">
        <f t="shared" si="7"/>
        <v>-7.9020587408501018E-3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251.47</v>
      </c>
      <c r="E23" s="3"/>
      <c r="F23" s="7">
        <f t="shared" si="0"/>
        <v>0</v>
      </c>
      <c r="G23" s="3"/>
      <c r="H23" s="8">
        <v>253.99</v>
      </c>
      <c r="I23" s="3"/>
      <c r="J23" s="7">
        <f t="shared" si="1"/>
        <v>0</v>
      </c>
      <c r="K23" s="3"/>
      <c r="L23" s="8">
        <f t="shared" si="2"/>
        <v>-2.5200000000000102</v>
      </c>
      <c r="M23" s="3"/>
      <c r="N23" s="7">
        <f t="shared" si="3"/>
        <v>-9.9216504586795151E-3</v>
      </c>
      <c r="O23" s="12"/>
      <c r="P23" s="8">
        <v>251.47</v>
      </c>
      <c r="Q23" s="3"/>
      <c r="R23" s="7">
        <f t="shared" si="4"/>
        <v>0</v>
      </c>
      <c r="S23" s="3"/>
      <c r="T23" s="8">
        <v>253.99</v>
      </c>
      <c r="U23" s="3"/>
      <c r="V23" s="7">
        <f t="shared" si="5"/>
        <v>0</v>
      </c>
      <c r="W23" s="3"/>
      <c r="X23" s="8">
        <f t="shared" si="6"/>
        <v>-2.5200000000000102</v>
      </c>
      <c r="Y23" s="3"/>
      <c r="Z23" s="7">
        <f t="shared" si="7"/>
        <v>-9.9216504586795151E-3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7497.95</v>
      </c>
      <c r="E24" s="3"/>
      <c r="F24" s="7">
        <f t="shared" si="0"/>
        <v>0</v>
      </c>
      <c r="G24" s="3"/>
      <c r="H24" s="8">
        <v>11165.64</v>
      </c>
      <c r="I24" s="3"/>
      <c r="J24" s="7">
        <f t="shared" si="1"/>
        <v>0</v>
      </c>
      <c r="K24" s="3"/>
      <c r="L24" s="8">
        <f t="shared" si="2"/>
        <v>-3667.6899999999996</v>
      </c>
      <c r="M24" s="3"/>
      <c r="N24" s="7">
        <f t="shared" si="3"/>
        <v>-0.32848005130023894</v>
      </c>
      <c r="O24" s="12"/>
      <c r="P24" s="8">
        <v>7497.95</v>
      </c>
      <c r="Q24" s="3"/>
      <c r="R24" s="7">
        <f t="shared" si="4"/>
        <v>0</v>
      </c>
      <c r="S24" s="3"/>
      <c r="T24" s="8">
        <v>11165.64</v>
      </c>
      <c r="U24" s="3"/>
      <c r="V24" s="7">
        <f t="shared" si="5"/>
        <v>0</v>
      </c>
      <c r="W24" s="3"/>
      <c r="X24" s="8">
        <f t="shared" si="6"/>
        <v>-3667.6899999999996</v>
      </c>
      <c r="Y24" s="3"/>
      <c r="Z24" s="7">
        <f t="shared" si="7"/>
        <v>-0.32848005130023894</v>
      </c>
    </row>
    <row r="25" spans="1:26" s="24" customFormat="1" hidden="1" outlineLevel="2" x14ac:dyDescent="0.3">
      <c r="A25" s="27"/>
      <c r="B25" s="12" t="str">
        <f>CONCATENATE("          ", "6117", " - ", "RETIREMENT STAFF HOURLY")</f>
        <v xml:space="preserve">          6117 - RETIREMENT STAFF HOURLY</v>
      </c>
      <c r="C25" s="12"/>
      <c r="D25" s="8">
        <v>603.48</v>
      </c>
      <c r="E25" s="3"/>
      <c r="F25" s="7">
        <f t="shared" si="0"/>
        <v>0</v>
      </c>
      <c r="G25" s="3"/>
      <c r="H25" s="8">
        <v>1080.74</v>
      </c>
      <c r="I25" s="3"/>
      <c r="J25" s="7">
        <f t="shared" si="1"/>
        <v>0</v>
      </c>
      <c r="K25" s="3"/>
      <c r="L25" s="8">
        <f t="shared" si="2"/>
        <v>-477.26</v>
      </c>
      <c r="M25" s="3"/>
      <c r="N25" s="7">
        <f t="shared" si="3"/>
        <v>-0.44160482632270481</v>
      </c>
      <c r="O25" s="12"/>
      <c r="P25" s="8">
        <v>603.48</v>
      </c>
      <c r="Q25" s="3"/>
      <c r="R25" s="7">
        <f t="shared" si="4"/>
        <v>0</v>
      </c>
      <c r="S25" s="3"/>
      <c r="T25" s="8">
        <v>1080.74</v>
      </c>
      <c r="U25" s="3"/>
      <c r="V25" s="7">
        <f t="shared" si="5"/>
        <v>0</v>
      </c>
      <c r="W25" s="3"/>
      <c r="X25" s="8">
        <f t="shared" si="6"/>
        <v>-477.26</v>
      </c>
      <c r="Y25" s="3"/>
      <c r="Z25" s="7">
        <f t="shared" si="7"/>
        <v>-0.44160482632270481</v>
      </c>
    </row>
    <row r="26" spans="1:26" s="24" customFormat="1" hidden="1" outlineLevel="2" x14ac:dyDescent="0.3">
      <c r="A26" s="27"/>
      <c r="B26" s="12" t="str">
        <f>CONCATENATE("          ", "6118", " - ", "VACATION")</f>
        <v xml:space="preserve">          6118 - VACATION</v>
      </c>
      <c r="C26" s="12"/>
      <c r="D26" s="8">
        <v>6366.21</v>
      </c>
      <c r="E26" s="3"/>
      <c r="F26" s="7">
        <f t="shared" si="0"/>
        <v>0</v>
      </c>
      <c r="G26" s="3"/>
      <c r="H26" s="8">
        <v>6023.54</v>
      </c>
      <c r="I26" s="3"/>
      <c r="J26" s="7">
        <f t="shared" si="1"/>
        <v>0</v>
      </c>
      <c r="K26" s="3"/>
      <c r="L26" s="8">
        <f t="shared" si="2"/>
        <v>342.67000000000007</v>
      </c>
      <c r="M26" s="3"/>
      <c r="N26" s="7">
        <f t="shared" si="3"/>
        <v>5.6888474219478923E-2</v>
      </c>
      <c r="O26" s="12"/>
      <c r="P26" s="8">
        <v>6366.21</v>
      </c>
      <c r="Q26" s="3"/>
      <c r="R26" s="7">
        <f t="shared" si="4"/>
        <v>0</v>
      </c>
      <c r="S26" s="3"/>
      <c r="T26" s="8">
        <v>6023.54</v>
      </c>
      <c r="U26" s="3"/>
      <c r="V26" s="7">
        <f t="shared" si="5"/>
        <v>0</v>
      </c>
      <c r="W26" s="3"/>
      <c r="X26" s="8">
        <f t="shared" si="6"/>
        <v>342.67000000000007</v>
      </c>
      <c r="Y26" s="3"/>
      <c r="Z26" s="7">
        <f t="shared" si="7"/>
        <v>5.6888474219478923E-2</v>
      </c>
    </row>
    <row r="27" spans="1:26" s="24" customFormat="1" hidden="1" outlineLevel="2" x14ac:dyDescent="0.3">
      <c r="A27" s="27"/>
      <c r="B27" s="12" t="str">
        <f>CONCATENATE("          ", "6119", " - ", "SICK LEAVE")</f>
        <v xml:space="preserve">          6119 - SICK LEAVE</v>
      </c>
      <c r="C27" s="12"/>
      <c r="D27" s="8">
        <v>4256.4799999999996</v>
      </c>
      <c r="E27" s="3"/>
      <c r="F27" s="7">
        <f t="shared" si="0"/>
        <v>0</v>
      </c>
      <c r="G27" s="3"/>
      <c r="H27" s="8">
        <v>4158.5</v>
      </c>
      <c r="I27" s="3"/>
      <c r="J27" s="7">
        <f t="shared" si="1"/>
        <v>0</v>
      </c>
      <c r="K27" s="3"/>
      <c r="L27" s="8">
        <f t="shared" si="2"/>
        <v>97.979999999999563</v>
      </c>
      <c r="M27" s="3"/>
      <c r="N27" s="7">
        <f t="shared" si="3"/>
        <v>2.3561380305398477E-2</v>
      </c>
      <c r="O27" s="12"/>
      <c r="P27" s="8">
        <v>4256.4799999999996</v>
      </c>
      <c r="Q27" s="3"/>
      <c r="R27" s="7">
        <f t="shared" si="4"/>
        <v>0</v>
      </c>
      <c r="S27" s="3"/>
      <c r="T27" s="8">
        <v>4158.5</v>
      </c>
      <c r="U27" s="3"/>
      <c r="V27" s="7">
        <f t="shared" si="5"/>
        <v>0</v>
      </c>
      <c r="W27" s="3"/>
      <c r="X27" s="8">
        <f t="shared" si="6"/>
        <v>97.979999999999563</v>
      </c>
      <c r="Y27" s="3"/>
      <c r="Z27" s="7">
        <f t="shared" si="7"/>
        <v>2.3561380305398477E-2</v>
      </c>
    </row>
    <row r="28" spans="1:26" s="24" customFormat="1" hidden="1" outlineLevel="2" x14ac:dyDescent="0.3">
      <c r="A28" s="27"/>
      <c r="B28" s="12" t="str">
        <f>CONCATENATE("          ", "6120", " - ", "RETIREES HEALTH INSURANCE")</f>
        <v xml:space="preserve">          6120 - RETIREES HEALTH INSURANCE</v>
      </c>
      <c r="C28" s="12"/>
      <c r="D28" s="8">
        <v>27136.06</v>
      </c>
      <c r="E28" s="3"/>
      <c r="F28" s="7">
        <f t="shared" si="0"/>
        <v>0</v>
      </c>
      <c r="G28" s="3"/>
      <c r="H28" s="8">
        <v>30249.09</v>
      </c>
      <c r="I28" s="3"/>
      <c r="J28" s="7">
        <f t="shared" si="1"/>
        <v>0</v>
      </c>
      <c r="K28" s="3"/>
      <c r="L28" s="8">
        <f t="shared" si="2"/>
        <v>-3113.0299999999988</v>
      </c>
      <c r="M28" s="3"/>
      <c r="N28" s="7">
        <f t="shared" si="3"/>
        <v>-0.10291317854520578</v>
      </c>
      <c r="O28" s="12"/>
      <c r="P28" s="8">
        <v>27136.06</v>
      </c>
      <c r="Q28" s="3"/>
      <c r="R28" s="7">
        <f t="shared" si="4"/>
        <v>0</v>
      </c>
      <c r="S28" s="3"/>
      <c r="T28" s="8">
        <v>30249.09</v>
      </c>
      <c r="U28" s="3"/>
      <c r="V28" s="7">
        <f t="shared" si="5"/>
        <v>0</v>
      </c>
      <c r="W28" s="3"/>
      <c r="X28" s="8">
        <f t="shared" si="6"/>
        <v>-3113.0299999999988</v>
      </c>
      <c r="Y28" s="3"/>
      <c r="Z28" s="7">
        <f t="shared" si="7"/>
        <v>-0.10291317854520578</v>
      </c>
    </row>
    <row r="29" spans="1:26" s="24" customFormat="1" hidden="1" outlineLevel="2" x14ac:dyDescent="0.3">
      <c r="A29" s="27"/>
      <c r="B29" s="12" t="str">
        <f>CONCATENATE("          ", "6156", " - ", "EMPLOYEE MEALS")</f>
        <v xml:space="preserve">          6156 - EMPLOYEE MEALS</v>
      </c>
      <c r="C29" s="12"/>
      <c r="D29" s="8">
        <v>847.34</v>
      </c>
      <c r="E29" s="3"/>
      <c r="F29" s="7">
        <f t="shared" si="0"/>
        <v>0</v>
      </c>
      <c r="G29" s="3"/>
      <c r="H29" s="8">
        <v>622.86</v>
      </c>
      <c r="I29" s="3"/>
      <c r="J29" s="7">
        <f t="shared" si="1"/>
        <v>0</v>
      </c>
      <c r="K29" s="3"/>
      <c r="L29" s="8">
        <f t="shared" si="2"/>
        <v>224.48000000000002</v>
      </c>
      <c r="M29" s="3"/>
      <c r="N29" s="7">
        <f t="shared" si="3"/>
        <v>0.36040201650451148</v>
      </c>
      <c r="O29" s="12"/>
      <c r="P29" s="8">
        <v>847.34</v>
      </c>
      <c r="Q29" s="3"/>
      <c r="R29" s="7">
        <f t="shared" si="4"/>
        <v>0</v>
      </c>
      <c r="S29" s="3"/>
      <c r="T29" s="8">
        <v>622.86</v>
      </c>
      <c r="U29" s="3"/>
      <c r="V29" s="7">
        <f t="shared" si="5"/>
        <v>0</v>
      </c>
      <c r="W29" s="3"/>
      <c r="X29" s="8">
        <f t="shared" si="6"/>
        <v>224.48000000000002</v>
      </c>
      <c r="Y29" s="3"/>
      <c r="Z29" s="7">
        <f t="shared" si="7"/>
        <v>0.36040201650451148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114654.69</v>
      </c>
      <c r="E30" s="1"/>
      <c r="F30" s="5">
        <f t="shared" ref="F30:F36" si="8">IF(D$12=0,0,D30/D$12)</f>
        <v>0</v>
      </c>
      <c r="G30" s="1"/>
      <c r="H30" s="1">
        <f>SUM(OSRRefH22_1x_0)</f>
        <v>114306.91</v>
      </c>
      <c r="I30" s="1"/>
      <c r="J30" s="5">
        <f t="shared" ref="J30:J36" si="9">IF(H$12=0,0,H30/H$12)</f>
        <v>0</v>
      </c>
      <c r="K30" s="1"/>
      <c r="L30" s="1">
        <f t="shared" ref="L30:L36" si="10">+D30-H30</f>
        <v>347.77999999999884</v>
      </c>
      <c r="M30" s="1"/>
      <c r="N30" s="5">
        <f t="shared" ref="N30:N36" si="11">IF(H30=0,0,L30/H30)</f>
        <v>3.0425107283540325E-3</v>
      </c>
      <c r="O30" s="14"/>
      <c r="P30" s="1">
        <f>SUM(OSRRefP22_1x_0)</f>
        <v>114654.69</v>
      </c>
      <c r="Q30" s="1"/>
      <c r="R30" s="5">
        <f t="shared" ref="R30:R36" si="12">IF(P$12=0,0,P30/P$12)</f>
        <v>0</v>
      </c>
      <c r="S30" s="1"/>
      <c r="T30" s="1">
        <f>SUM(OSRRefT22_1x_0)</f>
        <v>114306.91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347.77999999999884</v>
      </c>
      <c r="Y30" s="1"/>
      <c r="Z30" s="5">
        <f t="shared" ref="Z30:Z36" si="15">IF(T30=0,0,X30/T30)</f>
        <v>3.0425107283540325E-3</v>
      </c>
    </row>
    <row r="31" spans="1:26" s="24" customFormat="1" hidden="1" outlineLevel="2" x14ac:dyDescent="0.3">
      <c r="A31" s="27"/>
      <c r="B31" s="12" t="str">
        <f>CONCATENATE("          ", "6001", " - ", "ADMINISTRATIVE SALARIES")</f>
        <v xml:space="preserve">          6001 - ADMINISTRATIVE SALARIES</v>
      </c>
      <c r="C31" s="12"/>
      <c r="D31" s="8">
        <v>29962.34</v>
      </c>
      <c r="E31" s="3"/>
      <c r="F31" s="7">
        <f t="shared" si="8"/>
        <v>0</v>
      </c>
      <c r="G31" s="3"/>
      <c r="H31" s="8">
        <v>28750.29</v>
      </c>
      <c r="I31" s="3"/>
      <c r="J31" s="7">
        <f t="shared" si="9"/>
        <v>0</v>
      </c>
      <c r="K31" s="3"/>
      <c r="L31" s="8">
        <f t="shared" si="10"/>
        <v>1212.0499999999993</v>
      </c>
      <c r="M31" s="3"/>
      <c r="N31" s="7">
        <f t="shared" si="11"/>
        <v>4.215783562531019E-2</v>
      </c>
      <c r="O31" s="12"/>
      <c r="P31" s="8">
        <v>29962.34</v>
      </c>
      <c r="Q31" s="3"/>
      <c r="R31" s="7">
        <f t="shared" si="12"/>
        <v>0</v>
      </c>
      <c r="S31" s="3"/>
      <c r="T31" s="8">
        <v>28750.29</v>
      </c>
      <c r="U31" s="3"/>
      <c r="V31" s="7">
        <f t="shared" si="13"/>
        <v>0</v>
      </c>
      <c r="W31" s="3"/>
      <c r="X31" s="8">
        <f t="shared" si="14"/>
        <v>1212.0499999999993</v>
      </c>
      <c r="Y31" s="3"/>
      <c r="Z31" s="7">
        <f t="shared" si="15"/>
        <v>4.215783562531019E-2</v>
      </c>
    </row>
    <row r="32" spans="1:26" s="24" customFormat="1" hidden="1" outlineLevel="2" x14ac:dyDescent="0.3">
      <c r="A32" s="27"/>
      <c r="B32" s="12" t="str">
        <f>CONCATENATE("          ", "6002", " - ", "STAFF SALARIES")</f>
        <v xml:space="preserve">          6002 - STAFF SALARIES</v>
      </c>
      <c r="C32" s="12"/>
      <c r="D32" s="8">
        <v>57319.14</v>
      </c>
      <c r="E32" s="3"/>
      <c r="F32" s="7">
        <f t="shared" si="8"/>
        <v>0</v>
      </c>
      <c r="G32" s="3"/>
      <c r="H32" s="8">
        <v>53290.35</v>
      </c>
      <c r="I32" s="3"/>
      <c r="J32" s="7">
        <f t="shared" si="9"/>
        <v>0</v>
      </c>
      <c r="K32" s="3"/>
      <c r="L32" s="8">
        <f t="shared" si="10"/>
        <v>4028.7900000000009</v>
      </c>
      <c r="M32" s="3"/>
      <c r="N32" s="7">
        <f t="shared" si="11"/>
        <v>7.5600741972983873E-2</v>
      </c>
      <c r="O32" s="12"/>
      <c r="P32" s="8">
        <v>57319.14</v>
      </c>
      <c r="Q32" s="3"/>
      <c r="R32" s="7">
        <f t="shared" si="12"/>
        <v>0</v>
      </c>
      <c r="S32" s="3"/>
      <c r="T32" s="8">
        <v>53290.35</v>
      </c>
      <c r="U32" s="3"/>
      <c r="V32" s="7">
        <f t="shared" si="13"/>
        <v>0</v>
      </c>
      <c r="W32" s="3"/>
      <c r="X32" s="8">
        <f t="shared" si="14"/>
        <v>4028.7900000000009</v>
      </c>
      <c r="Y32" s="3"/>
      <c r="Z32" s="7">
        <f t="shared" si="15"/>
        <v>7.5600741972983873E-2</v>
      </c>
    </row>
    <row r="33" spans="1:26" s="24" customFormat="1" hidden="1" outlineLevel="2" x14ac:dyDescent="0.3">
      <c r="A33" s="27"/>
      <c r="B33" s="12" t="str">
        <f>CONCATENATE("          ", "6004", " - ", "STAFF HOURLY")</f>
        <v xml:space="preserve">          6004 - STAFF HOURLY</v>
      </c>
      <c r="C33" s="12"/>
      <c r="D33" s="8">
        <v>18080.89</v>
      </c>
      <c r="E33" s="3"/>
      <c r="F33" s="7">
        <f t="shared" si="8"/>
        <v>0</v>
      </c>
      <c r="G33" s="3"/>
      <c r="H33" s="8">
        <v>18530.3</v>
      </c>
      <c r="I33" s="3"/>
      <c r="J33" s="7">
        <f t="shared" si="9"/>
        <v>0</v>
      </c>
      <c r="K33" s="3"/>
      <c r="L33" s="8">
        <f t="shared" si="10"/>
        <v>-449.40999999999985</v>
      </c>
      <c r="M33" s="3"/>
      <c r="N33" s="7">
        <f t="shared" si="11"/>
        <v>-2.4252710425627211E-2</v>
      </c>
      <c r="O33" s="12"/>
      <c r="P33" s="8">
        <v>18080.89</v>
      </c>
      <c r="Q33" s="3"/>
      <c r="R33" s="7">
        <f t="shared" si="12"/>
        <v>0</v>
      </c>
      <c r="S33" s="3"/>
      <c r="T33" s="8">
        <v>18530.3</v>
      </c>
      <c r="U33" s="3"/>
      <c r="V33" s="7">
        <f t="shared" si="13"/>
        <v>0</v>
      </c>
      <c r="W33" s="3"/>
      <c r="X33" s="8">
        <f t="shared" si="14"/>
        <v>-449.40999999999985</v>
      </c>
      <c r="Y33" s="3"/>
      <c r="Z33" s="7">
        <f t="shared" si="15"/>
        <v>-2.4252710425627211E-2</v>
      </c>
    </row>
    <row r="34" spans="1:26" s="24" customFormat="1" hidden="1" outlineLevel="2" x14ac:dyDescent="0.3">
      <c r="A34" s="27"/>
      <c r="B34" s="12" t="str">
        <f>CONCATENATE("          ", "6005", " - ", "TEMPORARY WAGES-HOURLY")</f>
        <v xml:space="preserve">          6005 - TEMPORARY WAGES-HOURLY</v>
      </c>
      <c r="C34" s="12"/>
      <c r="D34" s="8">
        <v>2027</v>
      </c>
      <c r="E34" s="3"/>
      <c r="F34" s="7">
        <f t="shared" si="8"/>
        <v>0</v>
      </c>
      <c r="G34" s="3"/>
      <c r="H34" s="8">
        <v>5883.34</v>
      </c>
      <c r="I34" s="3"/>
      <c r="J34" s="7">
        <f t="shared" si="9"/>
        <v>0</v>
      </c>
      <c r="K34" s="3"/>
      <c r="L34" s="8">
        <f t="shared" si="10"/>
        <v>-3856.34</v>
      </c>
      <c r="M34" s="3"/>
      <c r="N34" s="7">
        <f t="shared" si="11"/>
        <v>-0.65546781250106234</v>
      </c>
      <c r="O34" s="12"/>
      <c r="P34" s="8">
        <v>2027</v>
      </c>
      <c r="Q34" s="3"/>
      <c r="R34" s="7">
        <f t="shared" si="12"/>
        <v>0</v>
      </c>
      <c r="S34" s="3"/>
      <c r="T34" s="8">
        <v>5883.34</v>
      </c>
      <c r="U34" s="3"/>
      <c r="V34" s="7">
        <f t="shared" si="13"/>
        <v>0</v>
      </c>
      <c r="W34" s="3"/>
      <c r="X34" s="8">
        <f t="shared" si="14"/>
        <v>-3856.34</v>
      </c>
      <c r="Y34" s="3"/>
      <c r="Z34" s="7">
        <f t="shared" si="15"/>
        <v>-0.65546781250106234</v>
      </c>
    </row>
    <row r="35" spans="1:26" s="24" customFormat="1" hidden="1" outlineLevel="2" x14ac:dyDescent="0.3">
      <c r="A35" s="27"/>
      <c r="B35" s="12" t="str">
        <f>CONCATENATE("          ", "6007", " - ", "STUDENT HOURLY")</f>
        <v xml:space="preserve">          6007 - STUDENT HOURLY</v>
      </c>
      <c r="C35" s="12"/>
      <c r="D35" s="8">
        <v>5494</v>
      </c>
      <c r="E35" s="3"/>
      <c r="F35" s="7">
        <f t="shared" si="8"/>
        <v>0</v>
      </c>
      <c r="G35" s="3"/>
      <c r="H35" s="8">
        <v>6624</v>
      </c>
      <c r="I35" s="3"/>
      <c r="J35" s="7">
        <f t="shared" si="9"/>
        <v>0</v>
      </c>
      <c r="K35" s="3"/>
      <c r="L35" s="8">
        <f t="shared" si="10"/>
        <v>-1130</v>
      </c>
      <c r="M35" s="3"/>
      <c r="N35" s="7">
        <f t="shared" si="11"/>
        <v>-0.17059178743961353</v>
      </c>
      <c r="O35" s="12"/>
      <c r="P35" s="8">
        <v>5494</v>
      </c>
      <c r="Q35" s="3"/>
      <c r="R35" s="7">
        <f t="shared" si="12"/>
        <v>0</v>
      </c>
      <c r="S35" s="3"/>
      <c r="T35" s="8">
        <v>6624</v>
      </c>
      <c r="U35" s="3"/>
      <c r="V35" s="7">
        <f t="shared" si="13"/>
        <v>0</v>
      </c>
      <c r="W35" s="3"/>
      <c r="X35" s="8">
        <f t="shared" si="14"/>
        <v>-1130</v>
      </c>
      <c r="Y35" s="3"/>
      <c r="Z35" s="7">
        <f t="shared" si="15"/>
        <v>-0.17059178743961353</v>
      </c>
    </row>
    <row r="36" spans="1:26" s="24" customFormat="1" hidden="1" outlineLevel="2" x14ac:dyDescent="0.3">
      <c r="A36" s="27"/>
      <c r="B36" s="12" t="str">
        <f>CONCATENATE("          ", "6008", " - ", "STUDENT HOURLY-FICA EXEMPT")</f>
        <v xml:space="preserve">          6008 - STUDENT HOURLY-FICA EXEMPT</v>
      </c>
      <c r="C36" s="12"/>
      <c r="D36" s="8">
        <v>1771.32</v>
      </c>
      <c r="E36" s="3"/>
      <c r="F36" s="7">
        <f t="shared" si="8"/>
        <v>0</v>
      </c>
      <c r="G36" s="3"/>
      <c r="H36" s="8">
        <v>1228.6300000000001</v>
      </c>
      <c r="I36" s="3"/>
      <c r="J36" s="7">
        <f t="shared" si="9"/>
        <v>0</v>
      </c>
      <c r="K36" s="3"/>
      <c r="L36" s="8">
        <f t="shared" si="10"/>
        <v>542.68999999999983</v>
      </c>
      <c r="M36" s="3"/>
      <c r="N36" s="7">
        <f t="shared" si="11"/>
        <v>0.44170336065373611</v>
      </c>
      <c r="O36" s="12"/>
      <c r="P36" s="8">
        <v>1771.32</v>
      </c>
      <c r="Q36" s="3"/>
      <c r="R36" s="7">
        <f t="shared" si="12"/>
        <v>0</v>
      </c>
      <c r="S36" s="3"/>
      <c r="T36" s="8">
        <v>1228.6300000000001</v>
      </c>
      <c r="U36" s="3"/>
      <c r="V36" s="7">
        <f t="shared" si="13"/>
        <v>0</v>
      </c>
      <c r="W36" s="3"/>
      <c r="X36" s="8">
        <f t="shared" si="14"/>
        <v>542.68999999999983</v>
      </c>
      <c r="Y36" s="3"/>
      <c r="Z36" s="7">
        <f t="shared" si="15"/>
        <v>0.44170336065373611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173.21</v>
      </c>
      <c r="E37" s="1"/>
      <c r="F37" s="5">
        <f t="shared" ref="F37:F55" si="16">IF(D$12=0,0,D37/D$12)</f>
        <v>0</v>
      </c>
      <c r="G37" s="1"/>
      <c r="H37" s="1">
        <f>SUM(OSRRefH22_2x_0)</f>
        <v>58.38</v>
      </c>
      <c r="I37" s="1"/>
      <c r="J37" s="5">
        <f t="shared" ref="J37:J55" si="17">IF(H$12=0,0,H37/H$12)</f>
        <v>0</v>
      </c>
      <c r="K37" s="1"/>
      <c r="L37" s="1">
        <f t="shared" ref="L37:L55" si="18">+D37-H37</f>
        <v>114.83000000000001</v>
      </c>
      <c r="M37" s="1"/>
      <c r="N37" s="5">
        <f t="shared" ref="N37:N55" si="19">IF(H37=0,0,L37/H37)</f>
        <v>1.9669407331277837</v>
      </c>
      <c r="O37" s="14"/>
      <c r="P37" s="1">
        <f>SUM(OSRRefP22_2x_0)</f>
        <v>173.21</v>
      </c>
      <c r="Q37" s="1"/>
      <c r="R37" s="5">
        <f t="shared" ref="R37:R55" si="20">IF(P$12=0,0,P37/P$12)</f>
        <v>0</v>
      </c>
      <c r="S37" s="1"/>
      <c r="T37" s="1">
        <f>SUM(OSRRefT22_2x_0)</f>
        <v>58.38</v>
      </c>
      <c r="U37" s="1"/>
      <c r="V37" s="5">
        <f t="shared" ref="V37:V55" si="21">IF(T$12=0,0,T37/T$12)</f>
        <v>0</v>
      </c>
      <c r="W37" s="1"/>
      <c r="X37" s="1">
        <f t="shared" ref="X37:X55" si="22">+P37-T37</f>
        <v>114.83000000000001</v>
      </c>
      <c r="Y37" s="1"/>
      <c r="Z37" s="5">
        <f t="shared" ref="Z37:Z55" si="23">IF(T37=0,0,X37/T37)</f>
        <v>1.9669407331277837</v>
      </c>
    </row>
    <row r="38" spans="1:26" s="24" customFormat="1" hidden="1" outlineLevel="2" x14ac:dyDescent="0.3">
      <c r="A38" s="27"/>
      <c r="B38" s="12" t="str">
        <f>CONCATENATE("          ", "6362", " - ", "ADVERTISING EXPENSE")</f>
        <v xml:space="preserve">          6362 - ADVERTISING EXPENSE</v>
      </c>
      <c r="C38" s="12"/>
      <c r="D38" s="8">
        <v>173.21</v>
      </c>
      <c r="E38" s="3"/>
      <c r="F38" s="7">
        <f t="shared" si="16"/>
        <v>0</v>
      </c>
      <c r="G38" s="3"/>
      <c r="H38" s="8">
        <v>58.38</v>
      </c>
      <c r="I38" s="3"/>
      <c r="J38" s="7">
        <f t="shared" si="17"/>
        <v>0</v>
      </c>
      <c r="K38" s="3"/>
      <c r="L38" s="8">
        <f t="shared" si="18"/>
        <v>114.83000000000001</v>
      </c>
      <c r="M38" s="3"/>
      <c r="N38" s="7">
        <f t="shared" si="19"/>
        <v>1.9669407331277837</v>
      </c>
      <c r="O38" s="12"/>
      <c r="P38" s="8">
        <v>173.21</v>
      </c>
      <c r="Q38" s="3"/>
      <c r="R38" s="7">
        <f t="shared" si="20"/>
        <v>0</v>
      </c>
      <c r="S38" s="3"/>
      <c r="T38" s="8">
        <v>58.38</v>
      </c>
      <c r="U38" s="3"/>
      <c r="V38" s="7">
        <f t="shared" si="21"/>
        <v>0</v>
      </c>
      <c r="W38" s="3"/>
      <c r="X38" s="8">
        <f t="shared" si="22"/>
        <v>114.83000000000001</v>
      </c>
      <c r="Y38" s="3"/>
      <c r="Z38" s="7">
        <f t="shared" si="23"/>
        <v>1.9669407331277837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2349.86</v>
      </c>
      <c r="E39" s="1"/>
      <c r="F39" s="5">
        <f t="shared" si="16"/>
        <v>0</v>
      </c>
      <c r="G39" s="1"/>
      <c r="H39" s="1">
        <f>SUM(OSRRefH22_3x_0)</f>
        <v>923.98</v>
      </c>
      <c r="I39" s="1"/>
      <c r="J39" s="5">
        <f t="shared" si="17"/>
        <v>0</v>
      </c>
      <c r="K39" s="1"/>
      <c r="L39" s="1">
        <f t="shared" si="18"/>
        <v>1425.88</v>
      </c>
      <c r="M39" s="1"/>
      <c r="N39" s="5">
        <f t="shared" si="19"/>
        <v>1.54319357561852</v>
      </c>
      <c r="O39" s="14"/>
      <c r="P39" s="1">
        <f>SUM(OSRRefP22_3x_0)</f>
        <v>2349.86</v>
      </c>
      <c r="Q39" s="1"/>
      <c r="R39" s="5">
        <f t="shared" si="20"/>
        <v>0</v>
      </c>
      <c r="S39" s="1"/>
      <c r="T39" s="1">
        <f>SUM(OSRRefT22_3x_0)</f>
        <v>923.98</v>
      </c>
      <c r="U39" s="1"/>
      <c r="V39" s="5">
        <f t="shared" si="21"/>
        <v>0</v>
      </c>
      <c r="W39" s="1"/>
      <c r="X39" s="1">
        <f t="shared" si="22"/>
        <v>1425.88</v>
      </c>
      <c r="Y39" s="1"/>
      <c r="Z39" s="5">
        <f t="shared" si="23"/>
        <v>1.54319357561852</v>
      </c>
    </row>
    <row r="40" spans="1:26" s="24" customFormat="1" hidden="1" outlineLevel="2" x14ac:dyDescent="0.3">
      <c r="A40" s="27"/>
      <c r="B40" s="12" t="str">
        <f>CONCATENATE("          ", "6381", " - ", "BANK/CREDIT CARD FEES")</f>
        <v xml:space="preserve">          6381 - BANK/CREDIT CARD FEES</v>
      </c>
      <c r="C40" s="12"/>
      <c r="D40" s="8">
        <v>2349.86</v>
      </c>
      <c r="E40" s="3"/>
      <c r="F40" s="7">
        <f t="shared" si="16"/>
        <v>0</v>
      </c>
      <c r="G40" s="3"/>
      <c r="H40" s="8">
        <v>923.98</v>
      </c>
      <c r="I40" s="3"/>
      <c r="J40" s="7">
        <f t="shared" si="17"/>
        <v>0</v>
      </c>
      <c r="K40" s="3"/>
      <c r="L40" s="8">
        <f t="shared" si="18"/>
        <v>1425.88</v>
      </c>
      <c r="M40" s="3"/>
      <c r="N40" s="7">
        <f t="shared" si="19"/>
        <v>1.54319357561852</v>
      </c>
      <c r="O40" s="12"/>
      <c r="P40" s="8">
        <v>2349.86</v>
      </c>
      <c r="Q40" s="3"/>
      <c r="R40" s="7">
        <f t="shared" si="20"/>
        <v>0</v>
      </c>
      <c r="S40" s="3"/>
      <c r="T40" s="8">
        <v>923.98</v>
      </c>
      <c r="U40" s="3"/>
      <c r="V40" s="7">
        <f t="shared" si="21"/>
        <v>0</v>
      </c>
      <c r="W40" s="3"/>
      <c r="X40" s="8">
        <f t="shared" si="22"/>
        <v>1425.88</v>
      </c>
      <c r="Y40" s="3"/>
      <c r="Z40" s="7">
        <f t="shared" si="23"/>
        <v>1.54319357561852</v>
      </c>
    </row>
    <row r="41" spans="1:26" s="29" customFormat="1" outlineLevel="1" collapsed="1" x14ac:dyDescent="0.3">
      <c r="A41" s="28"/>
      <c r="B41" s="14" t="str">
        <f>CONCATENATE("     ","Board                                             ")</f>
        <v xml:space="preserve">     Board                                             </v>
      </c>
      <c r="C41" s="14"/>
      <c r="D41" s="1">
        <f>SUM(OSRRefD22_4x_0)</f>
        <v>837.74</v>
      </c>
      <c r="E41" s="1"/>
      <c r="F41" s="5">
        <f t="shared" si="16"/>
        <v>0</v>
      </c>
      <c r="G41" s="1"/>
      <c r="H41" s="1">
        <f>SUM(OSRRefH22_4x_0)</f>
        <v>783.79</v>
      </c>
      <c r="I41" s="1"/>
      <c r="J41" s="5">
        <f t="shared" si="17"/>
        <v>0</v>
      </c>
      <c r="K41" s="1"/>
      <c r="L41" s="1">
        <f t="shared" si="18"/>
        <v>53.950000000000045</v>
      </c>
      <c r="M41" s="1"/>
      <c r="N41" s="5">
        <f t="shared" si="19"/>
        <v>6.8832212710037186E-2</v>
      </c>
      <c r="O41" s="14"/>
      <c r="P41" s="1">
        <f>SUM(OSRRefP22_4x_0)</f>
        <v>837.74</v>
      </c>
      <c r="Q41" s="1"/>
      <c r="R41" s="5">
        <f t="shared" si="20"/>
        <v>0</v>
      </c>
      <c r="S41" s="1"/>
      <c r="T41" s="1">
        <f>SUM(OSRRefT22_4x_0)</f>
        <v>783.79</v>
      </c>
      <c r="U41" s="1"/>
      <c r="V41" s="5">
        <f t="shared" si="21"/>
        <v>0</v>
      </c>
      <c r="W41" s="1"/>
      <c r="X41" s="1">
        <f t="shared" si="22"/>
        <v>53.950000000000045</v>
      </c>
      <c r="Y41" s="1"/>
      <c r="Z41" s="5">
        <f t="shared" si="23"/>
        <v>6.8832212710037186E-2</v>
      </c>
    </row>
    <row r="42" spans="1:26" s="24" customFormat="1" hidden="1" outlineLevel="2" x14ac:dyDescent="0.3">
      <c r="A42" s="27"/>
      <c r="B42" s="12" t="str">
        <f>CONCATENATE("          ", "6397", " - ", "BOARD EXPENSES")</f>
        <v xml:space="preserve">          6397 - BOARD EXPENSES</v>
      </c>
      <c r="C42" s="12"/>
      <c r="D42" s="8">
        <v>837.74</v>
      </c>
      <c r="E42" s="3"/>
      <c r="F42" s="7">
        <f t="shared" si="16"/>
        <v>0</v>
      </c>
      <c r="G42" s="3"/>
      <c r="H42" s="8">
        <v>783.79</v>
      </c>
      <c r="I42" s="3"/>
      <c r="J42" s="7">
        <f t="shared" si="17"/>
        <v>0</v>
      </c>
      <c r="K42" s="3"/>
      <c r="L42" s="8">
        <f t="shared" si="18"/>
        <v>53.950000000000045</v>
      </c>
      <c r="M42" s="3"/>
      <c r="N42" s="7">
        <f t="shared" si="19"/>
        <v>6.8832212710037186E-2</v>
      </c>
      <c r="O42" s="12"/>
      <c r="P42" s="8">
        <v>837.74</v>
      </c>
      <c r="Q42" s="3"/>
      <c r="R42" s="7">
        <f t="shared" si="20"/>
        <v>0</v>
      </c>
      <c r="S42" s="3"/>
      <c r="T42" s="8">
        <v>783.79</v>
      </c>
      <c r="U42" s="3"/>
      <c r="V42" s="7">
        <f t="shared" si="21"/>
        <v>0</v>
      </c>
      <c r="W42" s="3"/>
      <c r="X42" s="8">
        <f t="shared" si="22"/>
        <v>53.950000000000045</v>
      </c>
      <c r="Y42" s="3"/>
      <c r="Z42" s="7">
        <f t="shared" si="23"/>
        <v>6.8832212710037186E-2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6972.12</v>
      </c>
      <c r="E43" s="1"/>
      <c r="F43" s="5">
        <f t="shared" si="16"/>
        <v>0</v>
      </c>
      <c r="G43" s="1"/>
      <c r="H43" s="1">
        <f>SUM(OSRRefH22_5x_0)</f>
        <v>7607.16</v>
      </c>
      <c r="I43" s="1"/>
      <c r="J43" s="5">
        <f t="shared" si="17"/>
        <v>0</v>
      </c>
      <c r="K43" s="1"/>
      <c r="L43" s="1">
        <f t="shared" si="18"/>
        <v>-635.04</v>
      </c>
      <c r="M43" s="1"/>
      <c r="N43" s="5">
        <f t="shared" si="19"/>
        <v>-8.347924849746817E-2</v>
      </c>
      <c r="O43" s="14"/>
      <c r="P43" s="1">
        <f>SUM(OSRRefP22_5x_0)</f>
        <v>6972.12</v>
      </c>
      <c r="Q43" s="1"/>
      <c r="R43" s="5">
        <f t="shared" si="20"/>
        <v>0</v>
      </c>
      <c r="S43" s="1"/>
      <c r="T43" s="1">
        <f>SUM(OSRRefT22_5x_0)</f>
        <v>7607.16</v>
      </c>
      <c r="U43" s="1"/>
      <c r="V43" s="5">
        <f t="shared" si="21"/>
        <v>0</v>
      </c>
      <c r="W43" s="1"/>
      <c r="X43" s="1">
        <f t="shared" si="22"/>
        <v>-635.04</v>
      </c>
      <c r="Y43" s="1"/>
      <c r="Z43" s="5">
        <f t="shared" si="23"/>
        <v>-8.347924849746817E-2</v>
      </c>
    </row>
    <row r="44" spans="1:26" s="24" customFormat="1" hidden="1" outlineLevel="2" x14ac:dyDescent="0.3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8">
        <v>6972.12</v>
      </c>
      <c r="E44" s="3"/>
      <c r="F44" s="7">
        <f t="shared" si="16"/>
        <v>0</v>
      </c>
      <c r="G44" s="3"/>
      <c r="H44" s="8">
        <v>7607.16</v>
      </c>
      <c r="I44" s="3"/>
      <c r="J44" s="7">
        <f t="shared" si="17"/>
        <v>0</v>
      </c>
      <c r="K44" s="3"/>
      <c r="L44" s="8">
        <f t="shared" si="18"/>
        <v>-635.04</v>
      </c>
      <c r="M44" s="3"/>
      <c r="N44" s="7">
        <f t="shared" si="19"/>
        <v>-8.347924849746817E-2</v>
      </c>
      <c r="O44" s="12"/>
      <c r="P44" s="8">
        <v>6972.12</v>
      </c>
      <c r="Q44" s="3"/>
      <c r="R44" s="7">
        <f t="shared" si="20"/>
        <v>0</v>
      </c>
      <c r="S44" s="3"/>
      <c r="T44" s="8">
        <v>7607.16</v>
      </c>
      <c r="U44" s="3"/>
      <c r="V44" s="7">
        <f t="shared" si="21"/>
        <v>0</v>
      </c>
      <c r="W44" s="3"/>
      <c r="X44" s="8">
        <f t="shared" si="22"/>
        <v>-635.04</v>
      </c>
      <c r="Y44" s="3"/>
      <c r="Z44" s="7">
        <f t="shared" si="23"/>
        <v>-8.347924849746817E-2</v>
      </c>
    </row>
    <row r="45" spans="1:26" s="29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SUM(OSRRefD22_6x_0)</f>
        <v>208.97</v>
      </c>
      <c r="E45" s="1"/>
      <c r="F45" s="5">
        <f t="shared" si="16"/>
        <v>0</v>
      </c>
      <c r="G45" s="1"/>
      <c r="H45" s="1">
        <f>SUM(OSRRefH22_6x_0)</f>
        <v>208.97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4"/>
      <c r="P45" s="1">
        <f>SUM(OSRRefP22_6x_0)</f>
        <v>208.97</v>
      </c>
      <c r="Q45" s="1"/>
      <c r="R45" s="5">
        <f t="shared" si="20"/>
        <v>0</v>
      </c>
      <c r="S45" s="1"/>
      <c r="T45" s="1">
        <f>SUM(OSRRefT22_6x_0)</f>
        <v>208.97</v>
      </c>
      <c r="U45" s="1"/>
      <c r="V45" s="5">
        <f t="shared" si="21"/>
        <v>0</v>
      </c>
      <c r="W45" s="1"/>
      <c r="X45" s="1">
        <f t="shared" si="22"/>
        <v>0</v>
      </c>
      <c r="Y45" s="1"/>
      <c r="Z45" s="5">
        <f t="shared" si="23"/>
        <v>0</v>
      </c>
    </row>
    <row r="46" spans="1:26" s="24" customFormat="1" hidden="1" outlineLevel="2" x14ac:dyDescent="0.3">
      <c r="A46" s="27"/>
      <c r="B46" s="12" t="str">
        <f>CONCATENATE("          ", "6351", " - ", "EQUIPMENT RENTAL")</f>
        <v xml:space="preserve">          6351 - EQUIPMENT RENTAL</v>
      </c>
      <c r="C46" s="12"/>
      <c r="D46" s="8">
        <v>208.97</v>
      </c>
      <c r="E46" s="3"/>
      <c r="F46" s="7">
        <f t="shared" si="16"/>
        <v>0</v>
      </c>
      <c r="G46" s="3"/>
      <c r="H46" s="8">
        <v>208.97</v>
      </c>
      <c r="I46" s="3"/>
      <c r="J46" s="7">
        <f t="shared" si="17"/>
        <v>0</v>
      </c>
      <c r="K46" s="3"/>
      <c r="L46" s="8">
        <f t="shared" si="18"/>
        <v>0</v>
      </c>
      <c r="M46" s="3"/>
      <c r="N46" s="7">
        <f t="shared" si="19"/>
        <v>0</v>
      </c>
      <c r="O46" s="12"/>
      <c r="P46" s="8">
        <v>208.97</v>
      </c>
      <c r="Q46" s="3"/>
      <c r="R46" s="7">
        <f t="shared" si="20"/>
        <v>0</v>
      </c>
      <c r="S46" s="3"/>
      <c r="T46" s="8">
        <v>208.97</v>
      </c>
      <c r="U46" s="3"/>
      <c r="V46" s="7">
        <f t="shared" si="21"/>
        <v>0</v>
      </c>
      <c r="W46" s="3"/>
      <c r="X46" s="8">
        <f t="shared" si="22"/>
        <v>0</v>
      </c>
      <c r="Y46" s="3"/>
      <c r="Z46" s="7">
        <f t="shared" si="23"/>
        <v>0</v>
      </c>
    </row>
    <row r="47" spans="1:26" s="29" customFormat="1" outlineLevel="1" collapsed="1" x14ac:dyDescent="0.3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SUM(OSRRefD22_7x_0)</f>
        <v>102.73</v>
      </c>
      <c r="E47" s="1"/>
      <c r="F47" s="5">
        <f t="shared" si="16"/>
        <v>0</v>
      </c>
      <c r="G47" s="1"/>
      <c r="H47" s="1">
        <f>SUM(OSRRefH22_7x_0)</f>
        <v>84</v>
      </c>
      <c r="I47" s="1"/>
      <c r="J47" s="5">
        <f t="shared" si="17"/>
        <v>0</v>
      </c>
      <c r="K47" s="1"/>
      <c r="L47" s="1">
        <f t="shared" si="18"/>
        <v>18.730000000000004</v>
      </c>
      <c r="M47" s="1"/>
      <c r="N47" s="5">
        <f t="shared" si="19"/>
        <v>0.22297619047619052</v>
      </c>
      <c r="O47" s="14"/>
      <c r="P47" s="1">
        <f>SUM(OSRRefP22_7x_0)</f>
        <v>102.73</v>
      </c>
      <c r="Q47" s="1"/>
      <c r="R47" s="5">
        <f t="shared" si="20"/>
        <v>0</v>
      </c>
      <c r="S47" s="1"/>
      <c r="T47" s="1">
        <f>SUM(OSRRefT22_7x_0)</f>
        <v>84</v>
      </c>
      <c r="U47" s="1"/>
      <c r="V47" s="5">
        <f t="shared" si="21"/>
        <v>0</v>
      </c>
      <c r="W47" s="1"/>
      <c r="X47" s="1">
        <f t="shared" si="22"/>
        <v>18.730000000000004</v>
      </c>
      <c r="Y47" s="1"/>
      <c r="Z47" s="5">
        <f t="shared" si="23"/>
        <v>0.22297619047619052</v>
      </c>
    </row>
    <row r="48" spans="1:26" s="24" customFormat="1" hidden="1" outlineLevel="2" x14ac:dyDescent="0.3">
      <c r="A48" s="27"/>
      <c r="B48" s="12" t="str">
        <f>CONCATENATE("          ", "6307", " - ", "POSTAGE")</f>
        <v xml:space="preserve">          6307 - POSTAGE</v>
      </c>
      <c r="C48" s="12"/>
      <c r="D48" s="8">
        <v>102.73</v>
      </c>
      <c r="E48" s="3"/>
      <c r="F48" s="7">
        <f t="shared" si="16"/>
        <v>0</v>
      </c>
      <c r="G48" s="3"/>
      <c r="H48" s="8">
        <v>84</v>
      </c>
      <c r="I48" s="3"/>
      <c r="J48" s="7">
        <f t="shared" si="17"/>
        <v>0</v>
      </c>
      <c r="K48" s="3"/>
      <c r="L48" s="8">
        <f t="shared" si="18"/>
        <v>18.730000000000004</v>
      </c>
      <c r="M48" s="3"/>
      <c r="N48" s="7">
        <f t="shared" si="19"/>
        <v>0.22297619047619052</v>
      </c>
      <c r="O48" s="12"/>
      <c r="P48" s="8">
        <v>102.73</v>
      </c>
      <c r="Q48" s="3"/>
      <c r="R48" s="7">
        <f t="shared" si="20"/>
        <v>0</v>
      </c>
      <c r="S48" s="3"/>
      <c r="T48" s="8">
        <v>84</v>
      </c>
      <c r="U48" s="3"/>
      <c r="V48" s="7">
        <f t="shared" si="21"/>
        <v>0</v>
      </c>
      <c r="W48" s="3"/>
      <c r="X48" s="8">
        <f t="shared" si="22"/>
        <v>18.730000000000004</v>
      </c>
      <c r="Y48" s="3"/>
      <c r="Z48" s="7">
        <f t="shared" si="23"/>
        <v>0.22297619047619052</v>
      </c>
    </row>
    <row r="49" spans="1:26" s="29" customFormat="1" outlineLevel="1" collapsed="1" x14ac:dyDescent="0.3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SUM(OSRRefD22_8x_0)</f>
        <v>1029.5</v>
      </c>
      <c r="E49" s="1"/>
      <c r="F49" s="5">
        <f t="shared" si="16"/>
        <v>0</v>
      </c>
      <c r="G49" s="1"/>
      <c r="H49" s="1">
        <f>SUM(OSRRefH22_8x_0)</f>
        <v>0</v>
      </c>
      <c r="I49" s="1"/>
      <c r="J49" s="5">
        <f t="shared" si="17"/>
        <v>0</v>
      </c>
      <c r="K49" s="1"/>
      <c r="L49" s="1">
        <f t="shared" si="18"/>
        <v>1029.5</v>
      </c>
      <c r="M49" s="1"/>
      <c r="N49" s="5">
        <f t="shared" si="19"/>
        <v>0</v>
      </c>
      <c r="O49" s="14"/>
      <c r="P49" s="1">
        <f>SUM(OSRRefP22_8x_0)</f>
        <v>1029.5</v>
      </c>
      <c r="Q49" s="1"/>
      <c r="R49" s="5">
        <f t="shared" si="20"/>
        <v>0</v>
      </c>
      <c r="S49" s="1"/>
      <c r="T49" s="1">
        <f>SUM(OSRRefT22_8x_0)</f>
        <v>0</v>
      </c>
      <c r="U49" s="1"/>
      <c r="V49" s="5">
        <f t="shared" si="21"/>
        <v>0</v>
      </c>
      <c r="W49" s="1"/>
      <c r="X49" s="1">
        <f t="shared" si="22"/>
        <v>1029.5</v>
      </c>
      <c r="Y49" s="1"/>
      <c r="Z49" s="5">
        <f t="shared" si="23"/>
        <v>0</v>
      </c>
    </row>
    <row r="50" spans="1:26" s="24" customFormat="1" hidden="1" outlineLevel="2" x14ac:dyDescent="0.3">
      <c r="A50" s="27"/>
      <c r="B50" s="12" t="str">
        <f>CONCATENATE("          ", "6279", " - ", "GENERAL EXPENSE")</f>
        <v xml:space="preserve">          6279 - GENERAL EXPENSE</v>
      </c>
      <c r="C50" s="12"/>
      <c r="D50" s="8">
        <v>1029.5</v>
      </c>
      <c r="E50" s="3"/>
      <c r="F50" s="7">
        <f t="shared" si="16"/>
        <v>0</v>
      </c>
      <c r="G50" s="3"/>
      <c r="H50" s="8"/>
      <c r="I50" s="3"/>
      <c r="J50" s="7">
        <f t="shared" si="17"/>
        <v>0</v>
      </c>
      <c r="K50" s="3"/>
      <c r="L50" s="8">
        <f t="shared" si="18"/>
        <v>1029.5</v>
      </c>
      <c r="M50" s="3"/>
      <c r="N50" s="7">
        <f t="shared" si="19"/>
        <v>0</v>
      </c>
      <c r="O50" s="12"/>
      <c r="P50" s="8">
        <v>1029.5</v>
      </c>
      <c r="Q50" s="3"/>
      <c r="R50" s="7">
        <f t="shared" si="20"/>
        <v>0</v>
      </c>
      <c r="S50" s="3"/>
      <c r="T50" s="8"/>
      <c r="U50" s="3"/>
      <c r="V50" s="7">
        <f t="shared" si="21"/>
        <v>0</v>
      </c>
      <c r="W50" s="3"/>
      <c r="X50" s="8">
        <f t="shared" si="22"/>
        <v>1029.5</v>
      </c>
      <c r="Y50" s="3"/>
      <c r="Z50" s="7">
        <f t="shared" si="23"/>
        <v>0</v>
      </c>
    </row>
    <row r="51" spans="1:26" s="29" customFormat="1" outlineLevel="1" collapsed="1" x14ac:dyDescent="0.3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SUM(OSRRefD22_9x_0)</f>
        <v>535.05999999999995</v>
      </c>
      <c r="E51" s="1"/>
      <c r="F51" s="5">
        <f t="shared" si="16"/>
        <v>0</v>
      </c>
      <c r="G51" s="1"/>
      <c r="H51" s="1">
        <f>SUM(OSRRefH22_9x_0)</f>
        <v>393.67</v>
      </c>
      <c r="I51" s="1"/>
      <c r="J51" s="5">
        <f t="shared" si="17"/>
        <v>0</v>
      </c>
      <c r="K51" s="1"/>
      <c r="L51" s="1">
        <f t="shared" si="18"/>
        <v>141.38999999999993</v>
      </c>
      <c r="M51" s="1"/>
      <c r="N51" s="5">
        <f t="shared" si="19"/>
        <v>0.35915868620926139</v>
      </c>
      <c r="O51" s="14"/>
      <c r="P51" s="1">
        <f>SUM(OSRRefP22_9x_0)</f>
        <v>535.05999999999995</v>
      </c>
      <c r="Q51" s="1"/>
      <c r="R51" s="5">
        <f t="shared" si="20"/>
        <v>0</v>
      </c>
      <c r="S51" s="1"/>
      <c r="T51" s="1">
        <f>SUM(OSRRefT22_9x_0)</f>
        <v>393.67</v>
      </c>
      <c r="U51" s="1"/>
      <c r="V51" s="5">
        <f t="shared" si="21"/>
        <v>0</v>
      </c>
      <c r="W51" s="1"/>
      <c r="X51" s="1">
        <f t="shared" si="22"/>
        <v>141.38999999999993</v>
      </c>
      <c r="Y51" s="1"/>
      <c r="Z51" s="5">
        <f t="shared" si="23"/>
        <v>0.35915868620926139</v>
      </c>
    </row>
    <row r="52" spans="1:26" s="24" customFormat="1" hidden="1" outlineLevel="2" x14ac:dyDescent="0.3">
      <c r="A52" s="27"/>
      <c r="B52" s="12" t="str">
        <f>CONCATENATE("          ", "6314", " - ", "LIABILITY INSURANCE")</f>
        <v xml:space="preserve">          6314 - LIABILITY INSURANCE</v>
      </c>
      <c r="C52" s="12"/>
      <c r="D52" s="8">
        <v>535.05999999999995</v>
      </c>
      <c r="E52" s="3"/>
      <c r="F52" s="7">
        <f t="shared" si="16"/>
        <v>0</v>
      </c>
      <c r="G52" s="3"/>
      <c r="H52" s="8">
        <v>393.67</v>
      </c>
      <c r="I52" s="3"/>
      <c r="J52" s="7">
        <f t="shared" si="17"/>
        <v>0</v>
      </c>
      <c r="K52" s="3"/>
      <c r="L52" s="8">
        <f t="shared" si="18"/>
        <v>141.38999999999993</v>
      </c>
      <c r="M52" s="3"/>
      <c r="N52" s="7">
        <f t="shared" si="19"/>
        <v>0.35915868620926139</v>
      </c>
      <c r="O52" s="12"/>
      <c r="P52" s="8">
        <v>535.05999999999995</v>
      </c>
      <c r="Q52" s="3"/>
      <c r="R52" s="7">
        <f t="shared" si="20"/>
        <v>0</v>
      </c>
      <c r="S52" s="3"/>
      <c r="T52" s="8">
        <v>393.67</v>
      </c>
      <c r="U52" s="3"/>
      <c r="V52" s="7">
        <f t="shared" si="21"/>
        <v>0</v>
      </c>
      <c r="W52" s="3"/>
      <c r="X52" s="8">
        <f t="shared" si="22"/>
        <v>141.38999999999993</v>
      </c>
      <c r="Y52" s="3"/>
      <c r="Z52" s="7">
        <f t="shared" si="23"/>
        <v>0.35915868620926139</v>
      </c>
    </row>
    <row r="53" spans="1:26" s="29" customFormat="1" outlineLevel="1" collapsed="1" x14ac:dyDescent="0.3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SUM(OSRRefD22_10x_0)</f>
        <v>4950</v>
      </c>
      <c r="E53" s="1"/>
      <c r="F53" s="5">
        <f t="shared" si="16"/>
        <v>0</v>
      </c>
      <c r="G53" s="1"/>
      <c r="H53" s="1">
        <f>SUM(OSRRefH22_10x_0)</f>
        <v>1755</v>
      </c>
      <c r="I53" s="1"/>
      <c r="J53" s="5">
        <f t="shared" si="17"/>
        <v>0</v>
      </c>
      <c r="K53" s="1"/>
      <c r="L53" s="1">
        <f t="shared" si="18"/>
        <v>3195</v>
      </c>
      <c r="M53" s="1"/>
      <c r="N53" s="5">
        <f t="shared" si="19"/>
        <v>1.8205128205128205</v>
      </c>
      <c r="O53" s="14"/>
      <c r="P53" s="1">
        <f>SUM(OSRRefP22_10x_0)</f>
        <v>4950</v>
      </c>
      <c r="Q53" s="1"/>
      <c r="R53" s="5">
        <f t="shared" si="20"/>
        <v>0</v>
      </c>
      <c r="S53" s="1"/>
      <c r="T53" s="1">
        <f>SUM(OSRRefT22_10x_0)</f>
        <v>1755</v>
      </c>
      <c r="U53" s="1"/>
      <c r="V53" s="5">
        <f t="shared" si="21"/>
        <v>0</v>
      </c>
      <c r="W53" s="1"/>
      <c r="X53" s="1">
        <f t="shared" si="22"/>
        <v>3195</v>
      </c>
      <c r="Y53" s="1"/>
      <c r="Z53" s="5">
        <f t="shared" si="23"/>
        <v>1.8205128205128205</v>
      </c>
    </row>
    <row r="54" spans="1:26" s="24" customFormat="1" hidden="1" outlineLevel="2" x14ac:dyDescent="0.3">
      <c r="A54" s="27"/>
      <c r="B54" s="12" t="str">
        <f>CONCATENATE("          ", "6334", " - ", "LEGAL COUNCIL EXPENSE")</f>
        <v xml:space="preserve">          6334 - LEGAL COUNCIL EXPENSE</v>
      </c>
      <c r="C54" s="12"/>
      <c r="D54" s="8">
        <v>3255</v>
      </c>
      <c r="E54" s="3"/>
      <c r="F54" s="7">
        <f t="shared" si="16"/>
        <v>0</v>
      </c>
      <c r="G54" s="3"/>
      <c r="H54" s="8">
        <v>100</v>
      </c>
      <c r="I54" s="3"/>
      <c r="J54" s="7">
        <f t="shared" si="17"/>
        <v>0</v>
      </c>
      <c r="K54" s="3"/>
      <c r="L54" s="8">
        <f t="shared" si="18"/>
        <v>3155</v>
      </c>
      <c r="M54" s="3"/>
      <c r="N54" s="7">
        <f t="shared" si="19"/>
        <v>31.55</v>
      </c>
      <c r="O54" s="12"/>
      <c r="P54" s="8">
        <v>3255</v>
      </c>
      <c r="Q54" s="3"/>
      <c r="R54" s="7">
        <f t="shared" si="20"/>
        <v>0</v>
      </c>
      <c r="S54" s="3"/>
      <c r="T54" s="8">
        <v>100</v>
      </c>
      <c r="U54" s="3"/>
      <c r="V54" s="7">
        <f t="shared" si="21"/>
        <v>0</v>
      </c>
      <c r="W54" s="3"/>
      <c r="X54" s="8">
        <f t="shared" si="22"/>
        <v>3155</v>
      </c>
      <c r="Y54" s="3"/>
      <c r="Z54" s="7">
        <f t="shared" si="23"/>
        <v>31.55</v>
      </c>
    </row>
    <row r="55" spans="1:26" s="24" customFormat="1" hidden="1" outlineLevel="2" x14ac:dyDescent="0.3">
      <c r="A55" s="27"/>
      <c r="B55" s="12" t="str">
        <f>CONCATENATE("          ", "6336", " - ", "PROFESSIONAL SERVICES")</f>
        <v xml:space="preserve">          6336 - PROFESSIONAL SERVICES</v>
      </c>
      <c r="C55" s="12"/>
      <c r="D55" s="8">
        <v>1695</v>
      </c>
      <c r="E55" s="3"/>
      <c r="F55" s="7">
        <f t="shared" si="16"/>
        <v>0</v>
      </c>
      <c r="G55" s="3"/>
      <c r="H55" s="8">
        <v>1655</v>
      </c>
      <c r="I55" s="3"/>
      <c r="J55" s="7">
        <f t="shared" si="17"/>
        <v>0</v>
      </c>
      <c r="K55" s="3"/>
      <c r="L55" s="8">
        <f t="shared" si="18"/>
        <v>40</v>
      </c>
      <c r="M55" s="3"/>
      <c r="N55" s="7">
        <f t="shared" si="19"/>
        <v>2.4169184290030211E-2</v>
      </c>
      <c r="O55" s="12"/>
      <c r="P55" s="8">
        <v>1695</v>
      </c>
      <c r="Q55" s="3"/>
      <c r="R55" s="7">
        <f t="shared" si="20"/>
        <v>0</v>
      </c>
      <c r="S55" s="3"/>
      <c r="T55" s="8">
        <v>1655</v>
      </c>
      <c r="U55" s="3"/>
      <c r="V55" s="7">
        <f t="shared" si="21"/>
        <v>0</v>
      </c>
      <c r="W55" s="3"/>
      <c r="X55" s="8">
        <f t="shared" si="22"/>
        <v>40</v>
      </c>
      <c r="Y55" s="3"/>
      <c r="Z55" s="7">
        <f t="shared" si="23"/>
        <v>2.4169184290030211E-2</v>
      </c>
    </row>
    <row r="56" spans="1:26" s="29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SUM(OSRRefD22_11x_0)</f>
        <v>16734.04</v>
      </c>
      <c r="E56" s="1"/>
      <c r="F56" s="5">
        <f t="shared" ref="F56:F59" si="24">IF(D$12=0,0,D56/D$12)</f>
        <v>0</v>
      </c>
      <c r="G56" s="1"/>
      <c r="H56" s="1">
        <f>SUM(OSRRefH22_11x_0)</f>
        <v>20807.009999999998</v>
      </c>
      <c r="I56" s="1"/>
      <c r="J56" s="5">
        <f t="shared" ref="J56:J59" si="25">IF(H$12=0,0,H56/H$12)</f>
        <v>0</v>
      </c>
      <c r="K56" s="1"/>
      <c r="L56" s="1">
        <f t="shared" ref="L56:L59" si="26">+D56-H56</f>
        <v>-4072.9699999999975</v>
      </c>
      <c r="M56" s="1"/>
      <c r="N56" s="5">
        <f t="shared" ref="N56:N59" si="27">IF(H56=0,0,L56/H56)</f>
        <v>-0.19574989390594794</v>
      </c>
      <c r="O56" s="14"/>
      <c r="P56" s="1">
        <f>SUM(OSRRefP22_11x_0)</f>
        <v>16734.04</v>
      </c>
      <c r="Q56" s="1"/>
      <c r="R56" s="5">
        <f t="shared" ref="R56:R59" si="28">IF(P$12=0,0,P56/P$12)</f>
        <v>0</v>
      </c>
      <c r="S56" s="1"/>
      <c r="T56" s="1">
        <f>SUM(OSRRefT22_11x_0)</f>
        <v>20807.009999999998</v>
      </c>
      <c r="U56" s="1"/>
      <c r="V56" s="5">
        <f t="shared" ref="V56:V59" si="29">IF(T$12=0,0,T56/T$12)</f>
        <v>0</v>
      </c>
      <c r="W56" s="1"/>
      <c r="X56" s="1">
        <f t="shared" ref="X56:X59" si="30">+P56-T56</f>
        <v>-4072.9699999999975</v>
      </c>
      <c r="Y56" s="1"/>
      <c r="Z56" s="5">
        <f t="shared" ref="Z56:Z59" si="31">IF(T56=0,0,X56/T56)</f>
        <v>-0.19574989390594794</v>
      </c>
    </row>
    <row r="57" spans="1:26" s="24" customFormat="1" hidden="1" outlineLevel="2" x14ac:dyDescent="0.3">
      <c r="A57" s="27"/>
      <c r="B57" s="12" t="str">
        <f>CONCATENATE("          ", "6371", " - ", "COMPUTER SOFTWARE MAINTENANCE")</f>
        <v xml:space="preserve">          6371 - COMPUTER SOFTWARE MAINTENANCE</v>
      </c>
      <c r="C57" s="12"/>
      <c r="D57" s="8">
        <v>3783.88</v>
      </c>
      <c r="E57" s="3"/>
      <c r="F57" s="7">
        <f t="shared" si="24"/>
        <v>0</v>
      </c>
      <c r="G57" s="3"/>
      <c r="H57" s="8">
        <v>4532.2</v>
      </c>
      <c r="I57" s="3"/>
      <c r="J57" s="7">
        <f t="shared" si="25"/>
        <v>0</v>
      </c>
      <c r="K57" s="3"/>
      <c r="L57" s="8">
        <f t="shared" si="26"/>
        <v>-748.31999999999971</v>
      </c>
      <c r="M57" s="3"/>
      <c r="N57" s="7">
        <f t="shared" si="27"/>
        <v>-0.16511186620184451</v>
      </c>
      <c r="O57" s="12"/>
      <c r="P57" s="8">
        <v>3783.88</v>
      </c>
      <c r="Q57" s="3"/>
      <c r="R57" s="7">
        <f t="shared" si="28"/>
        <v>0</v>
      </c>
      <c r="S57" s="3"/>
      <c r="T57" s="8">
        <v>4532.2</v>
      </c>
      <c r="U57" s="3"/>
      <c r="V57" s="7">
        <f t="shared" si="29"/>
        <v>0</v>
      </c>
      <c r="W57" s="3"/>
      <c r="X57" s="8">
        <f t="shared" si="30"/>
        <v>-748.31999999999971</v>
      </c>
      <c r="Y57" s="3"/>
      <c r="Z57" s="7">
        <f t="shared" si="31"/>
        <v>-0.16511186620184451</v>
      </c>
    </row>
    <row r="58" spans="1:26" s="24" customFormat="1" hidden="1" outlineLevel="2" x14ac:dyDescent="0.3">
      <c r="A58" s="27"/>
      <c r="B58" s="12" t="str">
        <f>CONCATENATE("          ", "6373", " - ", "MAINTENANCE CONTRACTS")</f>
        <v xml:space="preserve">          6373 - MAINTENANCE CONTRACTS</v>
      </c>
      <c r="C58" s="12"/>
      <c r="D58" s="8">
        <v>12950.16</v>
      </c>
      <c r="E58" s="3"/>
      <c r="F58" s="7">
        <f t="shared" si="24"/>
        <v>0</v>
      </c>
      <c r="G58" s="3"/>
      <c r="H58" s="8">
        <v>15455.62</v>
      </c>
      <c r="I58" s="3"/>
      <c r="J58" s="7">
        <f t="shared" si="25"/>
        <v>0</v>
      </c>
      <c r="K58" s="3"/>
      <c r="L58" s="8">
        <f t="shared" si="26"/>
        <v>-2505.4600000000009</v>
      </c>
      <c r="M58" s="3"/>
      <c r="N58" s="7">
        <f t="shared" si="27"/>
        <v>-0.16210672881450247</v>
      </c>
      <c r="O58" s="12"/>
      <c r="P58" s="8">
        <v>12950.16</v>
      </c>
      <c r="Q58" s="3"/>
      <c r="R58" s="7">
        <f t="shared" si="28"/>
        <v>0</v>
      </c>
      <c r="S58" s="3"/>
      <c r="T58" s="8">
        <v>15455.62</v>
      </c>
      <c r="U58" s="3"/>
      <c r="V58" s="7">
        <f t="shared" si="29"/>
        <v>0</v>
      </c>
      <c r="W58" s="3"/>
      <c r="X58" s="8">
        <f t="shared" si="30"/>
        <v>-2505.4600000000009</v>
      </c>
      <c r="Y58" s="3"/>
      <c r="Z58" s="7">
        <f t="shared" si="31"/>
        <v>-0.16210672881450247</v>
      </c>
    </row>
    <row r="59" spans="1:26" s="24" customFormat="1" hidden="1" outlineLevel="2" x14ac:dyDescent="0.3">
      <c r="A59" s="27"/>
      <c r="B59" s="12" t="str">
        <f>CONCATENATE("          ", "6375", " - ", "OUTSIDE REPAIRS &amp; MAINTENANCE")</f>
        <v xml:space="preserve">          6375 - OUTSIDE REPAIRS &amp; MAINTENANCE</v>
      </c>
      <c r="C59" s="12"/>
      <c r="D59" s="8">
        <v>0</v>
      </c>
      <c r="E59" s="3"/>
      <c r="F59" s="7">
        <f t="shared" si="24"/>
        <v>0</v>
      </c>
      <c r="G59" s="3"/>
      <c r="H59" s="8">
        <v>819.19</v>
      </c>
      <c r="I59" s="3"/>
      <c r="J59" s="7">
        <f t="shared" si="25"/>
        <v>0</v>
      </c>
      <c r="K59" s="3"/>
      <c r="L59" s="8">
        <f t="shared" si="26"/>
        <v>-819.19</v>
      </c>
      <c r="M59" s="3"/>
      <c r="N59" s="7">
        <f t="shared" si="27"/>
        <v>-1</v>
      </c>
      <c r="O59" s="12"/>
      <c r="P59" s="8">
        <v>0</v>
      </c>
      <c r="Q59" s="3"/>
      <c r="R59" s="7">
        <f t="shared" si="28"/>
        <v>0</v>
      </c>
      <c r="S59" s="3"/>
      <c r="T59" s="8">
        <v>819.19</v>
      </c>
      <c r="U59" s="3"/>
      <c r="V59" s="7">
        <f t="shared" si="29"/>
        <v>0</v>
      </c>
      <c r="W59" s="3"/>
      <c r="X59" s="8">
        <f t="shared" si="30"/>
        <v>-819.19</v>
      </c>
      <c r="Y59" s="3"/>
      <c r="Z59" s="7">
        <f t="shared" si="31"/>
        <v>-1</v>
      </c>
    </row>
    <row r="60" spans="1:26" s="29" customFormat="1" outlineLevel="1" collapsed="1" x14ac:dyDescent="0.3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SUM(OSRRefD22_12x_0)</f>
        <v>0</v>
      </c>
      <c r="E60" s="1"/>
      <c r="F60" s="5">
        <f t="shared" ref="F60:F68" si="32">IF(D$12=0,0,D60/D$12)</f>
        <v>0</v>
      </c>
      <c r="G60" s="1"/>
      <c r="H60" s="1">
        <f>SUM(OSRRefH22_12x_0)</f>
        <v>512.48</v>
      </c>
      <c r="I60" s="1"/>
      <c r="J60" s="5">
        <f t="shared" ref="J60:J68" si="33">IF(H$12=0,0,H60/H$12)</f>
        <v>0</v>
      </c>
      <c r="K60" s="1"/>
      <c r="L60" s="1">
        <f t="shared" ref="L60:L68" si="34">+D60-H60</f>
        <v>-512.48</v>
      </c>
      <c r="M60" s="1"/>
      <c r="N60" s="5">
        <f t="shared" ref="N60:N68" si="35">IF(H60=0,0,L60/H60)</f>
        <v>-1</v>
      </c>
      <c r="O60" s="14"/>
      <c r="P60" s="1">
        <f>SUM(OSRRefP22_12x_0)</f>
        <v>0</v>
      </c>
      <c r="Q60" s="1"/>
      <c r="R60" s="5">
        <f t="shared" ref="R60:R68" si="36">IF(P$12=0,0,P60/P$12)</f>
        <v>0</v>
      </c>
      <c r="S60" s="1"/>
      <c r="T60" s="1">
        <f>SUM(OSRRefT22_12x_0)</f>
        <v>512.48</v>
      </c>
      <c r="U60" s="1"/>
      <c r="V60" s="5">
        <f t="shared" ref="V60:V68" si="37">IF(T$12=0,0,T60/T$12)</f>
        <v>0</v>
      </c>
      <c r="W60" s="1"/>
      <c r="X60" s="1">
        <f t="shared" ref="X60:X68" si="38">+P60-T60</f>
        <v>-512.48</v>
      </c>
      <c r="Y60" s="1"/>
      <c r="Z60" s="5">
        <f t="shared" ref="Z60:Z68" si="39">IF(T60=0,0,X60/T60)</f>
        <v>-1</v>
      </c>
    </row>
    <row r="61" spans="1:26" s="24" customFormat="1" hidden="1" outlineLevel="2" x14ac:dyDescent="0.3">
      <c r="A61" s="27"/>
      <c r="B61" s="12" t="str">
        <f>CONCATENATE("          ", "6281", " - ", "STORAGE FEE")</f>
        <v xml:space="preserve">          6281 - STORAGE FEE</v>
      </c>
      <c r="C61" s="12"/>
      <c r="D61" s="8"/>
      <c r="E61" s="3"/>
      <c r="F61" s="7">
        <f t="shared" si="32"/>
        <v>0</v>
      </c>
      <c r="G61" s="3"/>
      <c r="H61" s="8">
        <v>512.48</v>
      </c>
      <c r="I61" s="3"/>
      <c r="J61" s="7">
        <f t="shared" si="33"/>
        <v>0</v>
      </c>
      <c r="K61" s="3"/>
      <c r="L61" s="8">
        <f t="shared" si="34"/>
        <v>-512.48</v>
      </c>
      <c r="M61" s="3"/>
      <c r="N61" s="7">
        <f t="shared" si="35"/>
        <v>-1</v>
      </c>
      <c r="O61" s="12"/>
      <c r="P61" s="8"/>
      <c r="Q61" s="3"/>
      <c r="R61" s="7">
        <f t="shared" si="36"/>
        <v>0</v>
      </c>
      <c r="S61" s="3"/>
      <c r="T61" s="8">
        <v>512.48</v>
      </c>
      <c r="U61" s="3"/>
      <c r="V61" s="7">
        <f t="shared" si="37"/>
        <v>0</v>
      </c>
      <c r="W61" s="3"/>
      <c r="X61" s="8">
        <f t="shared" si="38"/>
        <v>-512.48</v>
      </c>
      <c r="Y61" s="3"/>
      <c r="Z61" s="7">
        <f t="shared" si="39"/>
        <v>-1</v>
      </c>
    </row>
    <row r="62" spans="1:26" s="29" customFormat="1" outlineLevel="1" collapsed="1" x14ac:dyDescent="0.3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SUM(OSRRefD22_13x_0)</f>
        <v>219</v>
      </c>
      <c r="E62" s="1"/>
      <c r="F62" s="5">
        <f t="shared" si="32"/>
        <v>0</v>
      </c>
      <c r="G62" s="1"/>
      <c r="H62" s="1">
        <f>SUM(OSRRefH22_13x_0)</f>
        <v>0</v>
      </c>
      <c r="I62" s="1"/>
      <c r="J62" s="5">
        <f t="shared" si="33"/>
        <v>0</v>
      </c>
      <c r="K62" s="1"/>
      <c r="L62" s="1">
        <f t="shared" si="34"/>
        <v>219</v>
      </c>
      <c r="M62" s="1"/>
      <c r="N62" s="5">
        <f t="shared" si="35"/>
        <v>0</v>
      </c>
      <c r="O62" s="14"/>
      <c r="P62" s="1">
        <f>SUM(OSRRefP22_13x_0)</f>
        <v>219</v>
      </c>
      <c r="Q62" s="1"/>
      <c r="R62" s="5">
        <f t="shared" si="36"/>
        <v>0</v>
      </c>
      <c r="S62" s="1"/>
      <c r="T62" s="1">
        <f>SUM(OSRRefT22_13x_0)</f>
        <v>0</v>
      </c>
      <c r="U62" s="1"/>
      <c r="V62" s="5">
        <f t="shared" si="37"/>
        <v>0</v>
      </c>
      <c r="W62" s="1"/>
      <c r="X62" s="1">
        <f t="shared" si="38"/>
        <v>219</v>
      </c>
      <c r="Y62" s="1"/>
      <c r="Z62" s="5">
        <f t="shared" si="39"/>
        <v>0</v>
      </c>
    </row>
    <row r="63" spans="1:26" s="24" customFormat="1" hidden="1" outlineLevel="2" x14ac:dyDescent="0.3">
      <c r="A63" s="27"/>
      <c r="B63" s="12" t="str">
        <f>CONCATENATE("          ", "6258", " - ", "MEMBERSHIP DUES")</f>
        <v xml:space="preserve">          6258 - MEMBERSHIP DUES</v>
      </c>
      <c r="C63" s="12"/>
      <c r="D63" s="8">
        <v>219</v>
      </c>
      <c r="E63" s="3"/>
      <c r="F63" s="7">
        <f t="shared" si="32"/>
        <v>0</v>
      </c>
      <c r="G63" s="3"/>
      <c r="H63" s="8"/>
      <c r="I63" s="3"/>
      <c r="J63" s="7">
        <f t="shared" si="33"/>
        <v>0</v>
      </c>
      <c r="K63" s="3"/>
      <c r="L63" s="8">
        <f t="shared" si="34"/>
        <v>219</v>
      </c>
      <c r="M63" s="3"/>
      <c r="N63" s="7">
        <f t="shared" si="35"/>
        <v>0</v>
      </c>
      <c r="O63" s="12"/>
      <c r="P63" s="8">
        <v>219</v>
      </c>
      <c r="Q63" s="3"/>
      <c r="R63" s="7">
        <f t="shared" si="36"/>
        <v>0</v>
      </c>
      <c r="S63" s="3"/>
      <c r="T63" s="8"/>
      <c r="U63" s="3"/>
      <c r="V63" s="7">
        <f t="shared" si="37"/>
        <v>0</v>
      </c>
      <c r="W63" s="3"/>
      <c r="X63" s="8">
        <f t="shared" si="38"/>
        <v>219</v>
      </c>
      <c r="Y63" s="3"/>
      <c r="Z63" s="7">
        <f t="shared" si="39"/>
        <v>0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SUM(OSRRefD22_14x_0)</f>
        <v>3414.08</v>
      </c>
      <c r="E64" s="1"/>
      <c r="F64" s="5">
        <f t="shared" si="32"/>
        <v>0</v>
      </c>
      <c r="G64" s="1"/>
      <c r="H64" s="1">
        <f>SUM(OSRRefH22_14x_0)</f>
        <v>1098.79</v>
      </c>
      <c r="I64" s="1"/>
      <c r="J64" s="5">
        <f t="shared" si="33"/>
        <v>0</v>
      </c>
      <c r="K64" s="1"/>
      <c r="L64" s="1">
        <f t="shared" si="34"/>
        <v>2315.29</v>
      </c>
      <c r="M64" s="1"/>
      <c r="N64" s="5">
        <f t="shared" si="35"/>
        <v>2.1071269305326767</v>
      </c>
      <c r="O64" s="14"/>
      <c r="P64" s="1">
        <f>SUM(OSRRefP22_14x_0)</f>
        <v>3414.08</v>
      </c>
      <c r="Q64" s="1"/>
      <c r="R64" s="5">
        <f t="shared" si="36"/>
        <v>0</v>
      </c>
      <c r="S64" s="1"/>
      <c r="T64" s="1">
        <f>SUM(OSRRefT22_14x_0)</f>
        <v>1098.79</v>
      </c>
      <c r="U64" s="1"/>
      <c r="V64" s="5">
        <f t="shared" si="37"/>
        <v>0</v>
      </c>
      <c r="W64" s="1"/>
      <c r="X64" s="1">
        <f t="shared" si="38"/>
        <v>2315.29</v>
      </c>
      <c r="Y64" s="1"/>
      <c r="Z64" s="5">
        <f t="shared" si="39"/>
        <v>2.1071269305326767</v>
      </c>
    </row>
    <row r="65" spans="1:26" s="24" customFormat="1" hidden="1" outlineLevel="2" x14ac:dyDescent="0.3">
      <c r="A65" s="27"/>
      <c r="B65" s="12" t="str">
        <f>CONCATENATE("          ", "6235", " - ", "COVID-19 EXPENSES")</f>
        <v xml:space="preserve">          6235 - COVID-19 EXPENSES</v>
      </c>
      <c r="C65" s="12"/>
      <c r="D65" s="8">
        <v>2447.77</v>
      </c>
      <c r="E65" s="3"/>
      <c r="F65" s="7">
        <f t="shared" si="32"/>
        <v>0</v>
      </c>
      <c r="G65" s="3"/>
      <c r="H65" s="8">
        <v>744.18</v>
      </c>
      <c r="I65" s="3"/>
      <c r="J65" s="7">
        <f t="shared" si="33"/>
        <v>0</v>
      </c>
      <c r="K65" s="3"/>
      <c r="L65" s="8">
        <f t="shared" si="34"/>
        <v>1703.5900000000001</v>
      </c>
      <c r="M65" s="3"/>
      <c r="N65" s="7">
        <f t="shared" si="35"/>
        <v>2.2892176623935074</v>
      </c>
      <c r="O65" s="12"/>
      <c r="P65" s="8">
        <v>2447.77</v>
      </c>
      <c r="Q65" s="3"/>
      <c r="R65" s="7">
        <f t="shared" si="36"/>
        <v>0</v>
      </c>
      <c r="S65" s="3"/>
      <c r="T65" s="8">
        <v>744.18</v>
      </c>
      <c r="U65" s="3"/>
      <c r="V65" s="7">
        <f t="shared" si="37"/>
        <v>0</v>
      </c>
      <c r="W65" s="3"/>
      <c r="X65" s="8">
        <f t="shared" si="38"/>
        <v>1703.5900000000001</v>
      </c>
      <c r="Y65" s="3"/>
      <c r="Z65" s="7">
        <f t="shared" si="39"/>
        <v>2.2892176623935074</v>
      </c>
    </row>
    <row r="66" spans="1:26" s="24" customFormat="1" hidden="1" outlineLevel="2" x14ac:dyDescent="0.3">
      <c r="A66" s="27"/>
      <c r="B66" s="12" t="str">
        <f>CONCATENATE("          ", "6241", " - ", "OFFICE EXPENSE")</f>
        <v xml:space="preserve">          6241 - OFFICE EXPENSE</v>
      </c>
      <c r="C66" s="12"/>
      <c r="D66" s="8">
        <v>791.31</v>
      </c>
      <c r="E66" s="3"/>
      <c r="F66" s="7">
        <f t="shared" si="32"/>
        <v>0</v>
      </c>
      <c r="G66" s="3"/>
      <c r="H66" s="8">
        <v>252.94</v>
      </c>
      <c r="I66" s="3"/>
      <c r="J66" s="7">
        <f t="shared" si="33"/>
        <v>0</v>
      </c>
      <c r="K66" s="3"/>
      <c r="L66" s="8">
        <f t="shared" si="34"/>
        <v>538.36999999999989</v>
      </c>
      <c r="M66" s="3"/>
      <c r="N66" s="7">
        <f t="shared" si="35"/>
        <v>2.128449434648533</v>
      </c>
      <c r="O66" s="12"/>
      <c r="P66" s="8">
        <v>791.31</v>
      </c>
      <c r="Q66" s="3"/>
      <c r="R66" s="7">
        <f t="shared" si="36"/>
        <v>0</v>
      </c>
      <c r="S66" s="3"/>
      <c r="T66" s="8">
        <v>252.94</v>
      </c>
      <c r="U66" s="3"/>
      <c r="V66" s="7">
        <f t="shared" si="37"/>
        <v>0</v>
      </c>
      <c r="W66" s="3"/>
      <c r="X66" s="8">
        <f t="shared" si="38"/>
        <v>538.36999999999989</v>
      </c>
      <c r="Y66" s="3"/>
      <c r="Z66" s="7">
        <f t="shared" si="39"/>
        <v>2.128449434648533</v>
      </c>
    </row>
    <row r="67" spans="1:26" s="24" customFormat="1" hidden="1" outlineLevel="2" x14ac:dyDescent="0.3">
      <c r="A67" s="27"/>
      <c r="B67" s="12" t="str">
        <f>CONCATENATE("          ", "6244", " - ", "SAFETY SUPPLY EXPENSE")</f>
        <v xml:space="preserve">          6244 - SAFETY SUPPLY EXPENSE</v>
      </c>
      <c r="C67" s="12"/>
      <c r="D67" s="8">
        <v>175</v>
      </c>
      <c r="E67" s="3"/>
      <c r="F67" s="7">
        <f t="shared" si="32"/>
        <v>0</v>
      </c>
      <c r="G67" s="3"/>
      <c r="H67" s="8">
        <v>101.67</v>
      </c>
      <c r="I67" s="3"/>
      <c r="J67" s="7">
        <f t="shared" si="33"/>
        <v>0</v>
      </c>
      <c r="K67" s="3"/>
      <c r="L67" s="8">
        <f t="shared" si="34"/>
        <v>73.33</v>
      </c>
      <c r="M67" s="3"/>
      <c r="N67" s="7">
        <f t="shared" si="35"/>
        <v>0.7212550408183338</v>
      </c>
      <c r="O67" s="12"/>
      <c r="P67" s="8">
        <v>175</v>
      </c>
      <c r="Q67" s="3"/>
      <c r="R67" s="7">
        <f t="shared" si="36"/>
        <v>0</v>
      </c>
      <c r="S67" s="3"/>
      <c r="T67" s="8">
        <v>101.67</v>
      </c>
      <c r="U67" s="3"/>
      <c r="V67" s="7">
        <f t="shared" si="37"/>
        <v>0</v>
      </c>
      <c r="W67" s="3"/>
      <c r="X67" s="8">
        <f t="shared" si="38"/>
        <v>73.33</v>
      </c>
      <c r="Y67" s="3"/>
      <c r="Z67" s="7">
        <f t="shared" si="39"/>
        <v>0.7212550408183338</v>
      </c>
    </row>
    <row r="68" spans="1:26" s="24" customFormat="1" hidden="1" outlineLevel="2" x14ac:dyDescent="0.3">
      <c r="A68" s="27"/>
      <c r="B68" s="12" t="str">
        <f>CONCATENATE("          ", "6248", " - ", "UNIFORMS")</f>
        <v xml:space="preserve">          6248 - UNIFORMS</v>
      </c>
      <c r="C68" s="12"/>
      <c r="D68" s="8">
        <v>0</v>
      </c>
      <c r="E68" s="3"/>
      <c r="F68" s="7">
        <f t="shared" si="32"/>
        <v>0</v>
      </c>
      <c r="G68" s="3"/>
      <c r="H68" s="8"/>
      <c r="I68" s="3"/>
      <c r="J68" s="7">
        <f t="shared" si="33"/>
        <v>0</v>
      </c>
      <c r="K68" s="3"/>
      <c r="L68" s="8">
        <f t="shared" si="34"/>
        <v>0</v>
      </c>
      <c r="M68" s="3"/>
      <c r="N68" s="7">
        <f t="shared" si="35"/>
        <v>0</v>
      </c>
      <c r="O68" s="12"/>
      <c r="P68" s="8">
        <v>0</v>
      </c>
      <c r="Q68" s="3"/>
      <c r="R68" s="7">
        <f t="shared" si="36"/>
        <v>0</v>
      </c>
      <c r="S68" s="3"/>
      <c r="T68" s="8"/>
      <c r="U68" s="3"/>
      <c r="V68" s="7">
        <f t="shared" si="37"/>
        <v>0</v>
      </c>
      <c r="W68" s="3"/>
      <c r="X68" s="8">
        <f t="shared" si="38"/>
        <v>0</v>
      </c>
      <c r="Y68" s="3"/>
      <c r="Z68" s="7">
        <f t="shared" si="39"/>
        <v>0</v>
      </c>
    </row>
    <row r="69" spans="1:26" s="29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SUM(OSRRefD22_15x_0)</f>
        <v>2515.34</v>
      </c>
      <c r="E69" s="1"/>
      <c r="F69" s="5">
        <f t="shared" ref="F69:F71" si="40">IF(D$12=0,0,D69/D$12)</f>
        <v>0</v>
      </c>
      <c r="G69" s="1"/>
      <c r="H69" s="1">
        <f>SUM(OSRRefH22_15x_0)</f>
        <v>2014.43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500.91000000000008</v>
      </c>
      <c r="M69" s="1"/>
      <c r="N69" s="5">
        <f t="shared" ref="N69:N71" si="43">IF(H69=0,0,L69/H69)</f>
        <v>0.24866091152335901</v>
      </c>
      <c r="O69" s="14"/>
      <c r="P69" s="1">
        <f>SUM(OSRRefP22_15x_0)</f>
        <v>2515.34</v>
      </c>
      <c r="Q69" s="1"/>
      <c r="R69" s="5">
        <f t="shared" ref="R69:R71" si="44">IF(P$12=0,0,P69/P$12)</f>
        <v>0</v>
      </c>
      <c r="S69" s="1"/>
      <c r="T69" s="1">
        <f>SUM(OSRRefT22_15x_0)</f>
        <v>2014.43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500.91000000000008</v>
      </c>
      <c r="Y69" s="1"/>
      <c r="Z69" s="5">
        <f t="shared" ref="Z69:Z71" si="47">IF(T69=0,0,X69/T69)</f>
        <v>0.24866091152335901</v>
      </c>
    </row>
    <row r="70" spans="1:26" s="24" customFormat="1" hidden="1" outlineLevel="2" x14ac:dyDescent="0.3">
      <c r="A70" s="27"/>
      <c r="B70" s="12" t="str">
        <f>CONCATENATE("          ", "6303", " - ", "DATA PHONE LINES")</f>
        <v xml:space="preserve">          6303 - DATA PHONE LINES</v>
      </c>
      <c r="C70" s="12"/>
      <c r="D70" s="8">
        <v>161.97999999999999</v>
      </c>
      <c r="E70" s="3"/>
      <c r="F70" s="7">
        <f t="shared" si="40"/>
        <v>0</v>
      </c>
      <c r="G70" s="3"/>
      <c r="H70" s="8">
        <v>78.989999999999995</v>
      </c>
      <c r="I70" s="3"/>
      <c r="J70" s="7">
        <f t="shared" si="41"/>
        <v>0</v>
      </c>
      <c r="K70" s="3"/>
      <c r="L70" s="8">
        <f t="shared" si="42"/>
        <v>82.99</v>
      </c>
      <c r="M70" s="3"/>
      <c r="N70" s="7">
        <f t="shared" si="43"/>
        <v>1.0506393214330929</v>
      </c>
      <c r="O70" s="12"/>
      <c r="P70" s="8">
        <v>161.97999999999999</v>
      </c>
      <c r="Q70" s="3"/>
      <c r="R70" s="7">
        <f t="shared" si="44"/>
        <v>0</v>
      </c>
      <c r="S70" s="3"/>
      <c r="T70" s="8">
        <v>78.989999999999995</v>
      </c>
      <c r="U70" s="3"/>
      <c r="V70" s="7">
        <f t="shared" si="45"/>
        <v>0</v>
      </c>
      <c r="W70" s="3"/>
      <c r="X70" s="8">
        <f t="shared" si="46"/>
        <v>82.99</v>
      </c>
      <c r="Y70" s="3"/>
      <c r="Z70" s="7">
        <f t="shared" si="47"/>
        <v>1.0506393214330929</v>
      </c>
    </row>
    <row r="71" spans="1:26" s="24" customFormat="1" hidden="1" outlineLevel="2" x14ac:dyDescent="0.3">
      <c r="A71" s="27"/>
      <c r="B71" s="12" t="str">
        <f>CONCATENATE("          ", "6309", " - ", "TELEPHONE")</f>
        <v xml:space="preserve">          6309 - TELEPHONE</v>
      </c>
      <c r="C71" s="12"/>
      <c r="D71" s="8">
        <v>2353.36</v>
      </c>
      <c r="E71" s="3"/>
      <c r="F71" s="7">
        <f t="shared" si="40"/>
        <v>0</v>
      </c>
      <c r="G71" s="3"/>
      <c r="H71" s="8">
        <v>1935.44</v>
      </c>
      <c r="I71" s="3"/>
      <c r="J71" s="7">
        <f t="shared" si="41"/>
        <v>0</v>
      </c>
      <c r="K71" s="3"/>
      <c r="L71" s="8">
        <f t="shared" si="42"/>
        <v>417.92000000000007</v>
      </c>
      <c r="M71" s="3"/>
      <c r="N71" s="7">
        <f t="shared" si="43"/>
        <v>0.21593022775182907</v>
      </c>
      <c r="O71" s="12"/>
      <c r="P71" s="8">
        <v>2353.36</v>
      </c>
      <c r="Q71" s="3"/>
      <c r="R71" s="7">
        <f t="shared" si="44"/>
        <v>0</v>
      </c>
      <c r="S71" s="3"/>
      <c r="T71" s="8">
        <v>1935.44</v>
      </c>
      <c r="U71" s="3"/>
      <c r="V71" s="7">
        <f t="shared" si="45"/>
        <v>0</v>
      </c>
      <c r="W71" s="3"/>
      <c r="X71" s="8">
        <f t="shared" si="46"/>
        <v>417.92000000000007</v>
      </c>
      <c r="Y71" s="3"/>
      <c r="Z71" s="7">
        <f t="shared" si="47"/>
        <v>0.21593022775182907</v>
      </c>
    </row>
    <row r="72" spans="1:26" s="29" customFormat="1" outlineLevel="1" collapsed="1" x14ac:dyDescent="0.3">
      <c r="A72" s="28"/>
      <c r="B72" s="14" t="str">
        <f>CONCATENATE("     ","Travel                                            ")</f>
        <v xml:space="preserve">     Travel                                            </v>
      </c>
      <c r="C72" s="14"/>
      <c r="D72" s="1">
        <f>SUM(OSRRefD22_16x_0)</f>
        <v>17.100000000000001</v>
      </c>
      <c r="E72" s="1"/>
      <c r="F72" s="5">
        <f t="shared" ref="F72:F73" si="48">IF(D$12=0,0,D72/D$12)</f>
        <v>0</v>
      </c>
      <c r="G72" s="1"/>
      <c r="H72" s="1">
        <f>SUM(OSRRefH22_16x_0)</f>
        <v>9.75</v>
      </c>
      <c r="I72" s="1"/>
      <c r="J72" s="5">
        <f t="shared" ref="J72:J73" si="49">IF(H$12=0,0,H72/H$12)</f>
        <v>0</v>
      </c>
      <c r="K72" s="1"/>
      <c r="L72" s="1">
        <f t="shared" ref="L72:L73" si="50">+D72-H72</f>
        <v>7.3500000000000014</v>
      </c>
      <c r="M72" s="1"/>
      <c r="N72" s="5">
        <f t="shared" ref="N72:N73" si="51">IF(H72=0,0,L72/H72)</f>
        <v>0.75384615384615394</v>
      </c>
      <c r="O72" s="14"/>
      <c r="P72" s="1">
        <f>SUM(OSRRefP22_16x_0)</f>
        <v>17.100000000000001</v>
      </c>
      <c r="Q72" s="1"/>
      <c r="R72" s="5">
        <f t="shared" ref="R72:R73" si="52">IF(P$12=0,0,P72/P$12)</f>
        <v>0</v>
      </c>
      <c r="S72" s="1"/>
      <c r="T72" s="1">
        <f>SUM(OSRRefT22_16x_0)</f>
        <v>9.75</v>
      </c>
      <c r="U72" s="1"/>
      <c r="V72" s="5">
        <f t="shared" ref="V72:V73" si="53">IF(T$12=0,0,T72/T$12)</f>
        <v>0</v>
      </c>
      <c r="W72" s="1"/>
      <c r="X72" s="1">
        <f t="shared" ref="X72:X73" si="54">+P72-T72</f>
        <v>7.3500000000000014</v>
      </c>
      <c r="Y72" s="1"/>
      <c r="Z72" s="5">
        <f t="shared" ref="Z72:Z73" si="55">IF(T72=0,0,X72/T72)</f>
        <v>0.75384615384615394</v>
      </c>
    </row>
    <row r="73" spans="1:26" s="24" customFormat="1" hidden="1" outlineLevel="2" x14ac:dyDescent="0.3">
      <c r="A73" s="27"/>
      <c r="B73" s="12" t="str">
        <f>CONCATENATE("          ", "6294", " - ", "TRAVEL OPERATIONAL")</f>
        <v xml:space="preserve">          6294 - TRAVEL OPERATIONAL</v>
      </c>
      <c r="C73" s="12"/>
      <c r="D73" s="8">
        <v>17.100000000000001</v>
      </c>
      <c r="E73" s="3"/>
      <c r="F73" s="7">
        <f t="shared" si="48"/>
        <v>0</v>
      </c>
      <c r="G73" s="3"/>
      <c r="H73" s="8">
        <v>9.75</v>
      </c>
      <c r="I73" s="3"/>
      <c r="J73" s="7">
        <f t="shared" si="49"/>
        <v>0</v>
      </c>
      <c r="K73" s="3"/>
      <c r="L73" s="8">
        <f t="shared" si="50"/>
        <v>7.3500000000000014</v>
      </c>
      <c r="M73" s="3"/>
      <c r="N73" s="7">
        <f t="shared" si="51"/>
        <v>0.75384615384615394</v>
      </c>
      <c r="O73" s="12"/>
      <c r="P73" s="8">
        <v>17.100000000000001</v>
      </c>
      <c r="Q73" s="3"/>
      <c r="R73" s="7">
        <f t="shared" si="52"/>
        <v>0</v>
      </c>
      <c r="S73" s="3"/>
      <c r="T73" s="8">
        <v>9.75</v>
      </c>
      <c r="U73" s="3"/>
      <c r="V73" s="7">
        <f t="shared" si="53"/>
        <v>0</v>
      </c>
      <c r="W73" s="3"/>
      <c r="X73" s="8">
        <f t="shared" si="54"/>
        <v>7.3500000000000014</v>
      </c>
      <c r="Y73" s="3"/>
      <c r="Z73" s="7">
        <f t="shared" si="55"/>
        <v>0.75384615384615394</v>
      </c>
    </row>
    <row r="74" spans="1:26" s="53" customFormat="1" x14ac:dyDescent="0.3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3">
      <c r="A75" s="10"/>
      <c r="B75" s="25" t="s">
        <v>292</v>
      </c>
      <c r="C75" s="10"/>
      <c r="D75" s="4">
        <f>SUM(0)</f>
        <v>0</v>
      </c>
      <c r="E75" s="4"/>
      <c r="F75" s="11">
        <f>IF(D$12=0,0,D75/D$12)</f>
        <v>0</v>
      </c>
      <c r="G75" s="4"/>
      <c r="H75" s="4">
        <f>SUM(0)</f>
        <v>0</v>
      </c>
      <c r="I75" s="4"/>
      <c r="J75" s="11">
        <f>IF(H$12=0,0,H75/H$12)</f>
        <v>0</v>
      </c>
      <c r="K75" s="4"/>
      <c r="L75" s="4">
        <f>+D75-H75</f>
        <v>0</v>
      </c>
      <c r="M75" s="4"/>
      <c r="N75" s="11">
        <f>IF(H75=0,0,L75/H75)</f>
        <v>0</v>
      </c>
      <c r="O75" s="10"/>
      <c r="P75" s="4">
        <f>SUM(0)</f>
        <v>0</v>
      </c>
      <c r="Q75" s="4"/>
      <c r="R75" s="11">
        <f>IF(P$12=0,0,P75/P$12)</f>
        <v>0</v>
      </c>
      <c r="S75" s="4"/>
      <c r="T75" s="4">
        <f>SUM(0)</f>
        <v>0</v>
      </c>
      <c r="U75" s="4"/>
      <c r="V75" s="11">
        <f>IF(T$12=0,0,T75/T$12)</f>
        <v>0</v>
      </c>
      <c r="W75" s="4"/>
      <c r="X75" s="4">
        <f>+P75-T75</f>
        <v>0</v>
      </c>
      <c r="Y75" s="4"/>
      <c r="Z75" s="11">
        <f>IF(T75=0,0,X75/T75)</f>
        <v>0</v>
      </c>
    </row>
    <row r="76" spans="1:26" x14ac:dyDescent="0.3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x14ac:dyDescent="0.3">
      <c r="A77" s="10"/>
      <c r="B77" s="26" t="s">
        <v>276</v>
      </c>
      <c r="C77" s="26"/>
      <c r="D77" s="20">
        <f>+D16-D18+D75</f>
        <v>-232914.85999999996</v>
      </c>
      <c r="E77" s="13"/>
      <c r="F77" s="21">
        <f>IF(D$12=0,0,D77/D$12)</f>
        <v>0</v>
      </c>
      <c r="G77" s="13"/>
      <c r="H77" s="20">
        <f>+H16-H18+H75</f>
        <v>-234703.24000000005</v>
      </c>
      <c r="I77" s="13"/>
      <c r="J77" s="21">
        <f>IF(H$12=0,0,H77/H$12)</f>
        <v>0</v>
      </c>
      <c r="K77" s="16"/>
      <c r="L77" s="20">
        <f>+D77-H77</f>
        <v>1788.380000000092</v>
      </c>
      <c r="M77" s="16"/>
      <c r="N77" s="21">
        <f>IF(H77=0,0,L77/H77)</f>
        <v>-7.6197499446539023E-3</v>
      </c>
      <c r="O77" s="25"/>
      <c r="P77" s="20">
        <f>+P16-P18+P75</f>
        <v>-232914.85999999996</v>
      </c>
      <c r="Q77" s="13"/>
      <c r="R77" s="21">
        <f>IF(P$12=0,0,P77/P$12)</f>
        <v>0</v>
      </c>
      <c r="S77" s="13"/>
      <c r="T77" s="20">
        <f>+T16-T18+T75</f>
        <v>-234703.24000000005</v>
      </c>
      <c r="U77" s="13"/>
      <c r="V77" s="21">
        <f>IF(T$12=0,0,T77/T$12)</f>
        <v>0</v>
      </c>
      <c r="W77" s="16"/>
      <c r="X77" s="20">
        <f>+P77-T77</f>
        <v>1788.380000000092</v>
      </c>
      <c r="Y77" s="16"/>
      <c r="Z77" s="21">
        <f>IF(T77=0,0,X77/T77)</f>
        <v>-7.6197499446539023E-3</v>
      </c>
    </row>
    <row r="78" spans="1:26" x14ac:dyDescent="0.3">
      <c r="A78" s="9"/>
      <c r="B78" s="10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x14ac:dyDescent="0.3">
      <c r="A79" s="51"/>
      <c r="B79" s="10" t="s">
        <v>127</v>
      </c>
      <c r="C79" s="10"/>
      <c r="D79" s="4"/>
      <c r="E79" s="4"/>
      <c r="F79" s="11">
        <f>IF(D$12=0,0,D79/D$12)</f>
        <v>0</v>
      </c>
      <c r="G79" s="4"/>
      <c r="H79" s="4"/>
      <c r="I79" s="4"/>
      <c r="J79" s="11">
        <f>IF(H$12=0,0,H79/H$12)</f>
        <v>0</v>
      </c>
      <c r="K79" s="4"/>
      <c r="L79" s="4">
        <f>+D79-H79</f>
        <v>0</v>
      </c>
      <c r="M79" s="4"/>
      <c r="N79" s="11">
        <f>IF(H79=0,0,L79/H79)</f>
        <v>0</v>
      </c>
      <c r="O79" s="10"/>
      <c r="P79" s="4"/>
      <c r="Q79" s="4"/>
      <c r="R79" s="11">
        <f>IF(P$12=0,0,P79/P$12)</f>
        <v>0</v>
      </c>
      <c r="S79" s="4"/>
      <c r="T79" s="4"/>
      <c r="U79" s="4"/>
      <c r="V79" s="11">
        <f>IF(T$12=0,0,T79/T$12)</f>
        <v>0</v>
      </c>
      <c r="W79" s="4"/>
      <c r="X79" s="4">
        <f>+P79-T79</f>
        <v>0</v>
      </c>
      <c r="Y79" s="4"/>
      <c r="Z79" s="11">
        <f>IF(T79=0,0,X79/T79)</f>
        <v>0</v>
      </c>
    </row>
    <row r="80" spans="1:26" x14ac:dyDescent="0.3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ht="15" thickBot="1" x14ac:dyDescent="0.35">
      <c r="A81" s="10"/>
      <c r="B81" s="26" t="s">
        <v>125</v>
      </c>
      <c r="C81" s="26"/>
      <c r="D81" s="36">
        <f>+D77-D79</f>
        <v>-232914.85999999996</v>
      </c>
      <c r="E81" s="13"/>
      <c r="F81" s="34">
        <f>IF(D$12=0,0,D81/D$12)</f>
        <v>0</v>
      </c>
      <c r="G81" s="13"/>
      <c r="H81" s="36">
        <f>+H77-H79</f>
        <v>-234703.24000000005</v>
      </c>
      <c r="I81" s="13"/>
      <c r="J81" s="34">
        <f>IF(H$12=0,0,H81/H$12)</f>
        <v>0</v>
      </c>
      <c r="K81" s="16"/>
      <c r="L81" s="36">
        <f>D81-H81</f>
        <v>1788.380000000092</v>
      </c>
      <c r="M81" s="16"/>
      <c r="N81" s="34">
        <f>IF(H81=0,0,L81/H81)</f>
        <v>-7.6197499446539023E-3</v>
      </c>
      <c r="O81" s="25"/>
      <c r="P81" s="36">
        <f>+P77-P79</f>
        <v>-232914.85999999996</v>
      </c>
      <c r="Q81" s="13"/>
      <c r="R81" s="34">
        <f>IF(P$12=0,0,P81/P$12)</f>
        <v>0</v>
      </c>
      <c r="S81" s="13"/>
      <c r="T81" s="36">
        <f>+T77-T79</f>
        <v>-234703.24000000005</v>
      </c>
      <c r="U81" s="13"/>
      <c r="V81" s="34">
        <f>IF(T$12=0,0,T81/T$12)</f>
        <v>0</v>
      </c>
      <c r="W81" s="16"/>
      <c r="X81" s="36">
        <f>P81-T81</f>
        <v>1788.380000000092</v>
      </c>
      <c r="Y81" s="16"/>
      <c r="Z81" s="34">
        <f>IF(T81=0,0,X81/T81)</f>
        <v>-7.6197499446539023E-3</v>
      </c>
    </row>
    <row r="82" spans="1:26" ht="15" thickTop="1" x14ac:dyDescent="0.3">
      <c r="A82" s="9"/>
      <c r="B82" s="9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x14ac:dyDescent="0.3">
      <c r="A83" s="9"/>
      <c r="B83" s="9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ht="15" thickBot="1" x14ac:dyDescent="0.35">
      <c r="A84" s="10"/>
      <c r="B84" s="26" t="s">
        <v>293</v>
      </c>
      <c r="C84" s="26"/>
      <c r="D84" s="31">
        <f>SUM(D81:D83)</f>
        <v>-232914.85999999996</v>
      </c>
      <c r="E84" s="13"/>
      <c r="F84" s="33">
        <f>IF(D$12=0,0,D84/D$12)</f>
        <v>0</v>
      </c>
      <c r="G84" s="13"/>
      <c r="H84" s="31">
        <f>SUM(H81:H83)</f>
        <v>-234703.24000000005</v>
      </c>
      <c r="I84" s="13"/>
      <c r="J84" s="33">
        <f>IF(H$12=0,0,H84/H$12)</f>
        <v>0</v>
      </c>
      <c r="K84" s="16"/>
      <c r="L84" s="31">
        <f>+D84-H84</f>
        <v>1788.380000000092</v>
      </c>
      <c r="M84" s="16"/>
      <c r="N84" s="33">
        <f>IF(H84=0,0,L84/H84)</f>
        <v>-7.6197499446539023E-3</v>
      </c>
      <c r="O84" s="25"/>
      <c r="P84" s="31">
        <f>SUM(P81:P83)</f>
        <v>-232914.85999999996</v>
      </c>
      <c r="Q84" s="13"/>
      <c r="R84" s="33">
        <f>IF(P$12=0,0,P84/P$12)</f>
        <v>0</v>
      </c>
      <c r="S84" s="13"/>
      <c r="T84" s="31">
        <f>SUM(T81:T83)</f>
        <v>-234703.24000000005</v>
      </c>
      <c r="U84" s="13"/>
      <c r="V84" s="33">
        <f>IF(T$12=0,0,T84/T$12)</f>
        <v>0</v>
      </c>
      <c r="W84" s="16"/>
      <c r="X84" s="31">
        <f>+P84-T84</f>
        <v>1788.380000000092</v>
      </c>
      <c r="Y84" s="16"/>
      <c r="Z84" s="33">
        <f>IF(T84=0,0,X84/T84)</f>
        <v>-7.6197499446539023E-3</v>
      </c>
    </row>
    <row r="85" spans="1:26" ht="15" thickTop="1" x14ac:dyDescent="0.3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9">
        <v>44462.666881597223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7" t="s">
        <v>56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61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30323.660000000003</v>
      </c>
      <c r="E18" s="19"/>
      <c r="F18" s="35">
        <f t="shared" ref="F18:F24" si="0">IF(D$12=0,0,D18/D$12)</f>
        <v>0</v>
      </c>
      <c r="G18" s="19"/>
      <c r="H18" s="19">
        <f>SUM(OSRRefH22x_0)</f>
        <v>31956.86</v>
      </c>
      <c r="I18" s="19"/>
      <c r="J18" s="35">
        <f t="shared" ref="J18:J24" si="1">IF(H$12=0,0,H18/H$12)</f>
        <v>0</v>
      </c>
      <c r="K18" s="4"/>
      <c r="L18" s="19">
        <f t="shared" ref="L18:L24" si="2">+D18-H18</f>
        <v>-1633.1999999999971</v>
      </c>
      <c r="M18" s="4"/>
      <c r="N18" s="35">
        <f t="shared" ref="N18:N24" si="3">IF(H18=0,0,L18/H18)</f>
        <v>-5.1106397812550955E-2</v>
      </c>
      <c r="O18" s="10"/>
      <c r="P18" s="19">
        <f>SUM(OSRRefP22x_0)</f>
        <v>30323.660000000003</v>
      </c>
      <c r="Q18" s="19"/>
      <c r="R18" s="35">
        <f t="shared" ref="R18:R24" si="4">IF(P$12=0,0,P18/P$12)</f>
        <v>0</v>
      </c>
      <c r="S18" s="19"/>
      <c r="T18" s="19">
        <f>SUM(OSRRefT22x_0)</f>
        <v>31956.86</v>
      </c>
      <c r="U18" s="19"/>
      <c r="V18" s="35">
        <f t="shared" ref="V18:V24" si="5">IF(T$12=0,0,T18/T$12)</f>
        <v>0</v>
      </c>
      <c r="W18" s="4"/>
      <c r="X18" s="19">
        <f t="shared" ref="X18:X24" si="6">+P18-T18</f>
        <v>-1633.1999999999971</v>
      </c>
      <c r="Y18" s="4"/>
      <c r="Z18" s="35">
        <f t="shared" ref="Z18:Z24" si="7">IF(T18=0,0,X18/T18)</f>
        <v>-5.1106397812550955E-2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27136.06</v>
      </c>
      <c r="E19" s="1"/>
      <c r="F19" s="5">
        <f t="shared" si="0"/>
        <v>0</v>
      </c>
      <c r="G19" s="1"/>
      <c r="H19" s="1">
        <f>SUM(OSRRefH22_0x_0)</f>
        <v>30249.09</v>
      </c>
      <c r="I19" s="1"/>
      <c r="J19" s="5">
        <f t="shared" si="1"/>
        <v>0</v>
      </c>
      <c r="K19" s="1"/>
      <c r="L19" s="1">
        <f t="shared" si="2"/>
        <v>-3113.0299999999988</v>
      </c>
      <c r="M19" s="1"/>
      <c r="N19" s="5">
        <f t="shared" si="3"/>
        <v>-0.10291317854520578</v>
      </c>
      <c r="O19" s="14"/>
      <c r="P19" s="1">
        <f>SUM(OSRRefP22_0x_0)</f>
        <v>27136.06</v>
      </c>
      <c r="Q19" s="1"/>
      <c r="R19" s="5">
        <f t="shared" si="4"/>
        <v>0</v>
      </c>
      <c r="S19" s="1"/>
      <c r="T19" s="1">
        <f>SUM(OSRRefT22_0x_0)</f>
        <v>30249.09</v>
      </c>
      <c r="U19" s="1"/>
      <c r="V19" s="5">
        <f t="shared" si="5"/>
        <v>0</v>
      </c>
      <c r="W19" s="1"/>
      <c r="X19" s="1">
        <f t="shared" si="6"/>
        <v>-3113.0299999999988</v>
      </c>
      <c r="Y19" s="1"/>
      <c r="Z19" s="5">
        <f t="shared" si="7"/>
        <v>-0.10291317854520578</v>
      </c>
    </row>
    <row r="20" spans="1:26" s="24" customFormat="1" hidden="1" outlineLevel="2" x14ac:dyDescent="0.3">
      <c r="A20" s="27"/>
      <c r="B20" s="12" t="str">
        <f>CONCATENATE("          ", "6120", " - ", "RETIREES HEALTH INSURANCE")</f>
        <v xml:space="preserve">          6120 - RETIREES HEALTH INSURANCE</v>
      </c>
      <c r="C20" s="12"/>
      <c r="D20" s="8">
        <v>27136.06</v>
      </c>
      <c r="E20" s="3"/>
      <c r="F20" s="7">
        <f t="shared" si="0"/>
        <v>0</v>
      </c>
      <c r="G20" s="3"/>
      <c r="H20" s="8">
        <v>30249.09</v>
      </c>
      <c r="I20" s="3"/>
      <c r="J20" s="7">
        <f t="shared" si="1"/>
        <v>0</v>
      </c>
      <c r="K20" s="3"/>
      <c r="L20" s="8">
        <f t="shared" si="2"/>
        <v>-3113.0299999999988</v>
      </c>
      <c r="M20" s="3"/>
      <c r="N20" s="7">
        <f t="shared" si="3"/>
        <v>-0.10291317854520578</v>
      </c>
      <c r="O20" s="12"/>
      <c r="P20" s="8">
        <v>27136.06</v>
      </c>
      <c r="Q20" s="3"/>
      <c r="R20" s="7">
        <f t="shared" si="4"/>
        <v>0</v>
      </c>
      <c r="S20" s="3"/>
      <c r="T20" s="8">
        <v>30249.09</v>
      </c>
      <c r="U20" s="3"/>
      <c r="V20" s="7">
        <f t="shared" si="5"/>
        <v>0</v>
      </c>
      <c r="W20" s="3"/>
      <c r="X20" s="8">
        <f t="shared" si="6"/>
        <v>-3113.0299999999988</v>
      </c>
      <c r="Y20" s="3"/>
      <c r="Z20" s="7">
        <f t="shared" si="7"/>
        <v>-0.10291317854520578</v>
      </c>
    </row>
    <row r="21" spans="1:26" s="29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2349.86</v>
      </c>
      <c r="E21" s="1"/>
      <c r="F21" s="5">
        <f t="shared" si="0"/>
        <v>0</v>
      </c>
      <c r="G21" s="1"/>
      <c r="H21" s="1">
        <f>SUM(OSRRefH22_1x_0)</f>
        <v>923.98</v>
      </c>
      <c r="I21" s="1"/>
      <c r="J21" s="5">
        <f t="shared" si="1"/>
        <v>0</v>
      </c>
      <c r="K21" s="1"/>
      <c r="L21" s="1">
        <f t="shared" si="2"/>
        <v>1425.88</v>
      </c>
      <c r="M21" s="1"/>
      <c r="N21" s="5">
        <f t="shared" si="3"/>
        <v>1.54319357561852</v>
      </c>
      <c r="O21" s="14"/>
      <c r="P21" s="1">
        <f>SUM(OSRRefP22_1x_0)</f>
        <v>2349.86</v>
      </c>
      <c r="Q21" s="1"/>
      <c r="R21" s="5">
        <f t="shared" si="4"/>
        <v>0</v>
      </c>
      <c r="S21" s="1"/>
      <c r="T21" s="1">
        <f>SUM(OSRRefT22_1x_0)</f>
        <v>923.98</v>
      </c>
      <c r="U21" s="1"/>
      <c r="V21" s="5">
        <f t="shared" si="5"/>
        <v>0</v>
      </c>
      <c r="W21" s="1"/>
      <c r="X21" s="1">
        <f t="shared" si="6"/>
        <v>1425.88</v>
      </c>
      <c r="Y21" s="1"/>
      <c r="Z21" s="5">
        <f t="shared" si="7"/>
        <v>1.54319357561852</v>
      </c>
    </row>
    <row r="22" spans="1:26" s="24" customFormat="1" hidden="1" outlineLevel="2" x14ac:dyDescent="0.3">
      <c r="A22" s="27"/>
      <c r="B22" s="12" t="str">
        <f>CONCATENATE("          ", "6381", " - ", "BANK/CREDIT CARD FEES")</f>
        <v xml:space="preserve">          6381 - BANK/CREDIT CARD FEES</v>
      </c>
      <c r="C22" s="12"/>
      <c r="D22" s="8">
        <v>2349.86</v>
      </c>
      <c r="E22" s="3"/>
      <c r="F22" s="7">
        <f t="shared" si="0"/>
        <v>0</v>
      </c>
      <c r="G22" s="3"/>
      <c r="H22" s="8">
        <v>923.98</v>
      </c>
      <c r="I22" s="3"/>
      <c r="J22" s="7">
        <f t="shared" si="1"/>
        <v>0</v>
      </c>
      <c r="K22" s="3"/>
      <c r="L22" s="8">
        <f t="shared" si="2"/>
        <v>1425.88</v>
      </c>
      <c r="M22" s="3"/>
      <c r="N22" s="7">
        <f t="shared" si="3"/>
        <v>1.54319357561852</v>
      </c>
      <c r="O22" s="12"/>
      <c r="P22" s="8">
        <v>2349.86</v>
      </c>
      <c r="Q22" s="3"/>
      <c r="R22" s="7">
        <f t="shared" si="4"/>
        <v>0</v>
      </c>
      <c r="S22" s="3"/>
      <c r="T22" s="8">
        <v>923.98</v>
      </c>
      <c r="U22" s="3"/>
      <c r="V22" s="7">
        <f t="shared" si="5"/>
        <v>0</v>
      </c>
      <c r="W22" s="3"/>
      <c r="X22" s="8">
        <f t="shared" si="6"/>
        <v>1425.88</v>
      </c>
      <c r="Y22" s="3"/>
      <c r="Z22" s="7">
        <f t="shared" si="7"/>
        <v>1.54319357561852</v>
      </c>
    </row>
    <row r="23" spans="1:26" s="29" customFormat="1" outlineLevel="1" collapsed="1" x14ac:dyDescent="0.3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837.74</v>
      </c>
      <c r="E23" s="1"/>
      <c r="F23" s="5">
        <f t="shared" si="0"/>
        <v>0</v>
      </c>
      <c r="G23" s="1"/>
      <c r="H23" s="1">
        <f>SUM(OSRRefH22_2x_0)</f>
        <v>783.79</v>
      </c>
      <c r="I23" s="1"/>
      <c r="J23" s="5">
        <f t="shared" si="1"/>
        <v>0</v>
      </c>
      <c r="K23" s="1"/>
      <c r="L23" s="1">
        <f t="shared" si="2"/>
        <v>53.950000000000045</v>
      </c>
      <c r="M23" s="1"/>
      <c r="N23" s="5">
        <f t="shared" si="3"/>
        <v>6.8832212710037186E-2</v>
      </c>
      <c r="O23" s="14"/>
      <c r="P23" s="1">
        <f>SUM(OSRRefP22_2x_0)</f>
        <v>837.74</v>
      </c>
      <c r="Q23" s="1"/>
      <c r="R23" s="5">
        <f t="shared" si="4"/>
        <v>0</v>
      </c>
      <c r="S23" s="1"/>
      <c r="T23" s="1">
        <f>SUM(OSRRefT22_2x_0)</f>
        <v>783.79</v>
      </c>
      <c r="U23" s="1"/>
      <c r="V23" s="5">
        <f t="shared" si="5"/>
        <v>0</v>
      </c>
      <c r="W23" s="1"/>
      <c r="X23" s="1">
        <f t="shared" si="6"/>
        <v>53.950000000000045</v>
      </c>
      <c r="Y23" s="1"/>
      <c r="Z23" s="5">
        <f t="shared" si="7"/>
        <v>6.8832212710037186E-2</v>
      </c>
    </row>
    <row r="24" spans="1:26" s="24" customFormat="1" hidden="1" outlineLevel="2" x14ac:dyDescent="0.3">
      <c r="A24" s="27"/>
      <c r="B24" s="12" t="str">
        <f>CONCATENATE("          ", "6397", " - ", "BOARD EXPENSES")</f>
        <v xml:space="preserve">          6397 - BOARD EXPENSES</v>
      </c>
      <c r="C24" s="12"/>
      <c r="D24" s="8">
        <v>837.74</v>
      </c>
      <c r="E24" s="3"/>
      <c r="F24" s="7">
        <f t="shared" si="0"/>
        <v>0</v>
      </c>
      <c r="G24" s="3"/>
      <c r="H24" s="8">
        <v>783.79</v>
      </c>
      <c r="I24" s="3"/>
      <c r="J24" s="7">
        <f t="shared" si="1"/>
        <v>0</v>
      </c>
      <c r="K24" s="3"/>
      <c r="L24" s="8">
        <f t="shared" si="2"/>
        <v>53.950000000000045</v>
      </c>
      <c r="M24" s="3"/>
      <c r="N24" s="7">
        <f t="shared" si="3"/>
        <v>6.8832212710037186E-2</v>
      </c>
      <c r="O24" s="12"/>
      <c r="P24" s="8">
        <v>837.74</v>
      </c>
      <c r="Q24" s="3"/>
      <c r="R24" s="7">
        <f t="shared" si="4"/>
        <v>0</v>
      </c>
      <c r="S24" s="3"/>
      <c r="T24" s="8">
        <v>783.79</v>
      </c>
      <c r="U24" s="3"/>
      <c r="V24" s="7">
        <f t="shared" si="5"/>
        <v>0</v>
      </c>
      <c r="W24" s="3"/>
      <c r="X24" s="8">
        <f t="shared" si="6"/>
        <v>53.950000000000045</v>
      </c>
      <c r="Y24" s="3"/>
      <c r="Z24" s="7">
        <f t="shared" si="7"/>
        <v>6.8832212710037186E-2</v>
      </c>
    </row>
    <row r="25" spans="1:26" s="53" customFormat="1" x14ac:dyDescent="0.3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292</v>
      </c>
      <c r="C26" s="10"/>
      <c r="D26" s="4">
        <f>SUM(0)</f>
        <v>0</v>
      </c>
      <c r="E26" s="4"/>
      <c r="F26" s="11">
        <f>IF(D$12=0,0,D26/D$12)</f>
        <v>0</v>
      </c>
      <c r="G26" s="4"/>
      <c r="H26" s="4">
        <f>SUM(0)</f>
        <v>0</v>
      </c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>
        <f>SUM(0)</f>
        <v>0</v>
      </c>
      <c r="Q26" s="4"/>
      <c r="R26" s="11">
        <f>IF(P$12=0,0,P26/P$12)</f>
        <v>0</v>
      </c>
      <c r="S26" s="4"/>
      <c r="T26" s="4">
        <f>SUM(0)</f>
        <v>0</v>
      </c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10"/>
      <c r="B28" s="26" t="s">
        <v>276</v>
      </c>
      <c r="C28" s="26"/>
      <c r="D28" s="20">
        <f>+D16-D18+D26</f>
        <v>-30323.660000000003</v>
      </c>
      <c r="E28" s="13"/>
      <c r="F28" s="21">
        <f>IF(D$12=0,0,D28/D$12)</f>
        <v>0</v>
      </c>
      <c r="G28" s="13"/>
      <c r="H28" s="20">
        <f>+H16-H18+H26</f>
        <v>-31956.86</v>
      </c>
      <c r="I28" s="13"/>
      <c r="J28" s="21">
        <f>IF(H$12=0,0,H28/H$12)</f>
        <v>0</v>
      </c>
      <c r="K28" s="16"/>
      <c r="L28" s="20">
        <f>+D28-H28</f>
        <v>1633.1999999999971</v>
      </c>
      <c r="M28" s="16"/>
      <c r="N28" s="21">
        <f>IF(H28=0,0,L28/H28)</f>
        <v>-5.1106397812550955E-2</v>
      </c>
      <c r="O28" s="25"/>
      <c r="P28" s="20">
        <f>+P16-P18+P26</f>
        <v>-30323.660000000003</v>
      </c>
      <c r="Q28" s="13"/>
      <c r="R28" s="21">
        <f>IF(P$12=0,0,P28/P$12)</f>
        <v>0</v>
      </c>
      <c r="S28" s="13"/>
      <c r="T28" s="20">
        <f>+T16-T18+T26</f>
        <v>-31956.86</v>
      </c>
      <c r="U28" s="13"/>
      <c r="V28" s="21">
        <f>IF(T$12=0,0,T28/T$12)</f>
        <v>0</v>
      </c>
      <c r="W28" s="16"/>
      <c r="X28" s="20">
        <f>+P28-T28</f>
        <v>1633.1999999999971</v>
      </c>
      <c r="Y28" s="16"/>
      <c r="Z28" s="21">
        <f>IF(T28=0,0,X28/T28)</f>
        <v>-5.1106397812550955E-2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51"/>
      <c r="B30" s="10" t="s">
        <v>127</v>
      </c>
      <c r="C30" s="10"/>
      <c r="D30" s="4"/>
      <c r="E30" s="4"/>
      <c r="F30" s="11">
        <f>IF(D$12=0,0,D30/D$12)</f>
        <v>0</v>
      </c>
      <c r="G30" s="4"/>
      <c r="H30" s="4"/>
      <c r="I30" s="4"/>
      <c r="J30" s="11">
        <f>IF(H$12=0,0,H30/H$12)</f>
        <v>0</v>
      </c>
      <c r="K30" s="4"/>
      <c r="L30" s="4">
        <f>+D30-H30</f>
        <v>0</v>
      </c>
      <c r="M30" s="4"/>
      <c r="N30" s="11">
        <f>IF(H30=0,0,L30/H30)</f>
        <v>0</v>
      </c>
      <c r="O30" s="10"/>
      <c r="P30" s="4"/>
      <c r="Q30" s="4"/>
      <c r="R30" s="11">
        <f>IF(P$12=0,0,P30/P$12)</f>
        <v>0</v>
      </c>
      <c r="S30" s="4"/>
      <c r="T30" s="4"/>
      <c r="U30" s="4"/>
      <c r="V30" s="11">
        <f>IF(T$12=0,0,T30/T$12)</f>
        <v>0</v>
      </c>
      <c r="W30" s="4"/>
      <c r="X30" s="4">
        <f>+P30-T30</f>
        <v>0</v>
      </c>
      <c r="Y30" s="4"/>
      <c r="Z30" s="11">
        <f>IF(T30=0,0,X30/T30)</f>
        <v>0</v>
      </c>
    </row>
    <row r="31" spans="1:26" x14ac:dyDescent="0.3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" thickBot="1" x14ac:dyDescent="0.35">
      <c r="A32" s="10"/>
      <c r="B32" s="26" t="s">
        <v>125</v>
      </c>
      <c r="C32" s="26"/>
      <c r="D32" s="36">
        <f>+D28-D30</f>
        <v>-30323.660000000003</v>
      </c>
      <c r="E32" s="13"/>
      <c r="F32" s="34">
        <f>IF(D$12=0,0,D32/D$12)</f>
        <v>0</v>
      </c>
      <c r="G32" s="13"/>
      <c r="H32" s="36">
        <f>+H28-H30</f>
        <v>-31956.86</v>
      </c>
      <c r="I32" s="13"/>
      <c r="J32" s="34">
        <f>IF(H$12=0,0,H32/H$12)</f>
        <v>0</v>
      </c>
      <c r="K32" s="16"/>
      <c r="L32" s="36">
        <f>D32-H32</f>
        <v>1633.1999999999971</v>
      </c>
      <c r="M32" s="16"/>
      <c r="N32" s="34">
        <f>IF(H32=0,0,L32/H32)</f>
        <v>-5.1106397812550955E-2</v>
      </c>
      <c r="O32" s="25"/>
      <c r="P32" s="36">
        <f>+P28-P30</f>
        <v>-30323.660000000003</v>
      </c>
      <c r="Q32" s="13"/>
      <c r="R32" s="34">
        <f>IF(P$12=0,0,P32/P$12)</f>
        <v>0</v>
      </c>
      <c r="S32" s="13"/>
      <c r="T32" s="36">
        <f>+T28-T30</f>
        <v>-31956.86</v>
      </c>
      <c r="U32" s="13"/>
      <c r="V32" s="34">
        <f>IF(T$12=0,0,T32/T$12)</f>
        <v>0</v>
      </c>
      <c r="W32" s="16"/>
      <c r="X32" s="36">
        <f>P32-T32</f>
        <v>1633.1999999999971</v>
      </c>
      <c r="Y32" s="16"/>
      <c r="Z32" s="34">
        <f>IF(T32=0,0,X32/T32)</f>
        <v>-5.1106397812550955E-2</v>
      </c>
    </row>
    <row r="33" spans="1:26" ht="15" thickTop="1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293</v>
      </c>
      <c r="C35" s="26"/>
      <c r="D35" s="31">
        <f>SUM(D32:D34)</f>
        <v>-30323.660000000003</v>
      </c>
      <c r="E35" s="13"/>
      <c r="F35" s="33">
        <f>IF(D$12=0,0,D35/D$12)</f>
        <v>0</v>
      </c>
      <c r="G35" s="13"/>
      <c r="H35" s="31">
        <f>SUM(H32:H34)</f>
        <v>-31956.86</v>
      </c>
      <c r="I35" s="13"/>
      <c r="J35" s="33">
        <f>IF(H$12=0,0,H35/H$12)</f>
        <v>0</v>
      </c>
      <c r="K35" s="16"/>
      <c r="L35" s="31">
        <f>+D35-H35</f>
        <v>1633.1999999999971</v>
      </c>
      <c r="M35" s="16"/>
      <c r="N35" s="33">
        <f>IF(H35=0,0,L35/H35)</f>
        <v>-5.1106397812550955E-2</v>
      </c>
      <c r="O35" s="25"/>
      <c r="P35" s="31">
        <f>SUM(P32:P34)</f>
        <v>-30323.660000000003</v>
      </c>
      <c r="Q35" s="13"/>
      <c r="R35" s="33">
        <f>IF(P$12=0,0,P35/P$12)</f>
        <v>0</v>
      </c>
      <c r="S35" s="13"/>
      <c r="T35" s="31">
        <f>SUM(T32:T34)</f>
        <v>-31956.86</v>
      </c>
      <c r="U35" s="13"/>
      <c r="V35" s="33">
        <f>IF(T$12=0,0,T35/T$12)</f>
        <v>0</v>
      </c>
      <c r="W35" s="16"/>
      <c r="X35" s="31">
        <f>+P35-T35</f>
        <v>1633.1999999999971</v>
      </c>
      <c r="Y35" s="16"/>
      <c r="Z35" s="33">
        <f>IF(T35=0,0,X35/T35)</f>
        <v>-5.1106397812550955E-2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9">
        <v>44462.666945868055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7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1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35851.090000000004</v>
      </c>
      <c r="E18" s="19"/>
      <c r="F18" s="35">
        <f t="shared" ref="F18:F27" si="0">IF(D$12=0,0,D18/D$12)</f>
        <v>0</v>
      </c>
      <c r="G18" s="19"/>
      <c r="H18" s="19">
        <f>SUM(OSRRefH22x_0)</f>
        <v>35660.750000000007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190.33999999999651</v>
      </c>
      <c r="M18" s="4"/>
      <c r="N18" s="35">
        <f t="shared" ref="N18:N27" si="3">IF(H18=0,0,L18/H18)</f>
        <v>5.3375209438947992E-3</v>
      </c>
      <c r="O18" s="10"/>
      <c r="P18" s="19">
        <f>SUM(OSRRefP22x_0)</f>
        <v>35851.090000000004</v>
      </c>
      <c r="Q18" s="19"/>
      <c r="R18" s="35">
        <f t="shared" ref="R18:R27" si="4">IF(P$12=0,0,P18/P$12)</f>
        <v>0</v>
      </c>
      <c r="S18" s="19"/>
      <c r="T18" s="19">
        <f>SUM(OSRRefT22x_0)</f>
        <v>35660.750000000007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190.33999999999651</v>
      </c>
      <c r="Y18" s="4"/>
      <c r="Z18" s="35">
        <f t="shared" ref="Z18:Z27" si="7">IF(T18=0,0,X18/T18)</f>
        <v>5.3375209438947992E-3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10222.959999999999</v>
      </c>
      <c r="E19" s="1"/>
      <c r="F19" s="5">
        <f t="shared" si="0"/>
        <v>0</v>
      </c>
      <c r="G19" s="1"/>
      <c r="H19" s="1">
        <f>SUM(OSRRefH22_0x_0)</f>
        <v>11138.359999999999</v>
      </c>
      <c r="I19" s="1"/>
      <c r="J19" s="5">
        <f t="shared" si="1"/>
        <v>0</v>
      </c>
      <c r="K19" s="1"/>
      <c r="L19" s="1">
        <f t="shared" si="2"/>
        <v>-915.39999999999964</v>
      </c>
      <c r="M19" s="1"/>
      <c r="N19" s="5">
        <f t="shared" si="3"/>
        <v>-8.2184450852728741E-2</v>
      </c>
      <c r="O19" s="14"/>
      <c r="P19" s="1">
        <f>SUM(OSRRefP22_0x_0)</f>
        <v>10222.959999999999</v>
      </c>
      <c r="Q19" s="1"/>
      <c r="R19" s="5">
        <f t="shared" si="4"/>
        <v>0</v>
      </c>
      <c r="S19" s="1"/>
      <c r="T19" s="1">
        <f>SUM(OSRRefT22_0x_0)</f>
        <v>11138.359999999999</v>
      </c>
      <c r="U19" s="1"/>
      <c r="V19" s="5">
        <f t="shared" si="5"/>
        <v>0</v>
      </c>
      <c r="W19" s="1"/>
      <c r="X19" s="1">
        <f t="shared" si="6"/>
        <v>-915.39999999999964</v>
      </c>
      <c r="Y19" s="1"/>
      <c r="Z19" s="5">
        <f t="shared" si="7"/>
        <v>-8.2184450852728741E-2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1448.66</v>
      </c>
      <c r="E20" s="3"/>
      <c r="F20" s="7">
        <f t="shared" si="0"/>
        <v>0</v>
      </c>
      <c r="G20" s="3"/>
      <c r="H20" s="8">
        <v>1447.92</v>
      </c>
      <c r="I20" s="3"/>
      <c r="J20" s="7">
        <f t="shared" si="1"/>
        <v>0</v>
      </c>
      <c r="K20" s="3"/>
      <c r="L20" s="8">
        <f t="shared" si="2"/>
        <v>0.74000000000000909</v>
      </c>
      <c r="M20" s="3"/>
      <c r="N20" s="7">
        <f t="shared" si="3"/>
        <v>5.1107796010829958E-4</v>
      </c>
      <c r="O20" s="12"/>
      <c r="P20" s="8">
        <v>1448.66</v>
      </c>
      <c r="Q20" s="3"/>
      <c r="R20" s="7">
        <f t="shared" si="4"/>
        <v>0</v>
      </c>
      <c r="S20" s="3"/>
      <c r="T20" s="8">
        <v>1447.92</v>
      </c>
      <c r="U20" s="3"/>
      <c r="V20" s="7">
        <f t="shared" si="5"/>
        <v>0</v>
      </c>
      <c r="W20" s="3"/>
      <c r="X20" s="8">
        <f t="shared" si="6"/>
        <v>0.74000000000000909</v>
      </c>
      <c r="Y20" s="3"/>
      <c r="Z20" s="7">
        <f t="shared" si="7"/>
        <v>5.1107796010829958E-4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244.28</v>
      </c>
      <c r="E21" s="3"/>
      <c r="F21" s="7">
        <f t="shared" si="0"/>
        <v>0</v>
      </c>
      <c r="G21" s="3"/>
      <c r="H21" s="8">
        <v>62.46</v>
      </c>
      <c r="I21" s="3"/>
      <c r="J21" s="7">
        <f t="shared" si="1"/>
        <v>0</v>
      </c>
      <c r="K21" s="3"/>
      <c r="L21" s="8">
        <f t="shared" si="2"/>
        <v>181.82</v>
      </c>
      <c r="M21" s="3"/>
      <c r="N21" s="7">
        <f t="shared" si="3"/>
        <v>2.9109830291386487</v>
      </c>
      <c r="O21" s="12"/>
      <c r="P21" s="8">
        <v>244.28</v>
      </c>
      <c r="Q21" s="3"/>
      <c r="R21" s="7">
        <f t="shared" si="4"/>
        <v>0</v>
      </c>
      <c r="S21" s="3"/>
      <c r="T21" s="8">
        <v>62.46</v>
      </c>
      <c r="U21" s="3"/>
      <c r="V21" s="7">
        <f t="shared" si="5"/>
        <v>0</v>
      </c>
      <c r="W21" s="3"/>
      <c r="X21" s="8">
        <f t="shared" si="6"/>
        <v>181.82</v>
      </c>
      <c r="Y21" s="3"/>
      <c r="Z21" s="7">
        <f t="shared" si="7"/>
        <v>2.9109830291386487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3909.65</v>
      </c>
      <c r="E22" s="3"/>
      <c r="F22" s="7">
        <f t="shared" si="0"/>
        <v>0</v>
      </c>
      <c r="G22" s="3"/>
      <c r="H22" s="8">
        <v>3965.44</v>
      </c>
      <c r="I22" s="3"/>
      <c r="J22" s="7">
        <f t="shared" si="1"/>
        <v>0</v>
      </c>
      <c r="K22" s="3"/>
      <c r="L22" s="8">
        <f t="shared" si="2"/>
        <v>-55.789999999999964</v>
      </c>
      <c r="M22" s="3"/>
      <c r="N22" s="7">
        <f t="shared" si="3"/>
        <v>-1.406905664945125E-2</v>
      </c>
      <c r="O22" s="12"/>
      <c r="P22" s="8">
        <v>3909.65</v>
      </c>
      <c r="Q22" s="3"/>
      <c r="R22" s="7">
        <f t="shared" si="4"/>
        <v>0</v>
      </c>
      <c r="S22" s="3"/>
      <c r="T22" s="8">
        <v>3965.44</v>
      </c>
      <c r="U22" s="3"/>
      <c r="V22" s="7">
        <f t="shared" si="5"/>
        <v>0</v>
      </c>
      <c r="W22" s="3"/>
      <c r="X22" s="8">
        <f t="shared" si="6"/>
        <v>-55.789999999999964</v>
      </c>
      <c r="Y22" s="3"/>
      <c r="Z22" s="7">
        <f t="shared" si="7"/>
        <v>-1.406905664945125E-2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49.24</v>
      </c>
      <c r="E23" s="3"/>
      <c r="F23" s="7">
        <f t="shared" si="0"/>
        <v>0</v>
      </c>
      <c r="G23" s="3"/>
      <c r="H23" s="8">
        <v>49.21</v>
      </c>
      <c r="I23" s="3"/>
      <c r="J23" s="7">
        <f t="shared" si="1"/>
        <v>0</v>
      </c>
      <c r="K23" s="3"/>
      <c r="L23" s="8">
        <f t="shared" si="2"/>
        <v>3.0000000000001137E-2</v>
      </c>
      <c r="M23" s="3"/>
      <c r="N23" s="7">
        <f t="shared" si="3"/>
        <v>6.0963218857958005E-4</v>
      </c>
      <c r="O23" s="12"/>
      <c r="P23" s="8">
        <v>49.24</v>
      </c>
      <c r="Q23" s="3"/>
      <c r="R23" s="7">
        <f t="shared" si="4"/>
        <v>0</v>
      </c>
      <c r="S23" s="3"/>
      <c r="T23" s="8">
        <v>49.21</v>
      </c>
      <c r="U23" s="3"/>
      <c r="V23" s="7">
        <f t="shared" si="5"/>
        <v>0</v>
      </c>
      <c r="W23" s="3"/>
      <c r="X23" s="8">
        <f t="shared" si="6"/>
        <v>3.0000000000001137E-2</v>
      </c>
      <c r="Y23" s="3"/>
      <c r="Z23" s="7">
        <f t="shared" si="7"/>
        <v>6.0963218857958005E-4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2020.98</v>
      </c>
      <c r="E24" s="3"/>
      <c r="F24" s="7">
        <f t="shared" si="0"/>
        <v>0</v>
      </c>
      <c r="G24" s="3"/>
      <c r="H24" s="8">
        <v>3073.55</v>
      </c>
      <c r="I24" s="3"/>
      <c r="J24" s="7">
        <f t="shared" si="1"/>
        <v>0</v>
      </c>
      <c r="K24" s="3"/>
      <c r="L24" s="8">
        <f t="shared" si="2"/>
        <v>-1052.5700000000002</v>
      </c>
      <c r="M24" s="3"/>
      <c r="N24" s="7">
        <f t="shared" si="3"/>
        <v>-0.3424606725122416</v>
      </c>
      <c r="O24" s="12"/>
      <c r="P24" s="8">
        <v>2020.98</v>
      </c>
      <c r="Q24" s="3"/>
      <c r="R24" s="7">
        <f t="shared" si="4"/>
        <v>0</v>
      </c>
      <c r="S24" s="3"/>
      <c r="T24" s="8">
        <v>3073.55</v>
      </c>
      <c r="U24" s="3"/>
      <c r="V24" s="7">
        <f t="shared" si="5"/>
        <v>0</v>
      </c>
      <c r="W24" s="3"/>
      <c r="X24" s="8">
        <f t="shared" si="6"/>
        <v>-1052.5700000000002</v>
      </c>
      <c r="Y24" s="3"/>
      <c r="Z24" s="7">
        <f t="shared" si="7"/>
        <v>-0.3424606725122416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1658.98</v>
      </c>
      <c r="E25" s="3"/>
      <c r="F25" s="7">
        <f t="shared" si="0"/>
        <v>0</v>
      </c>
      <c r="G25" s="3"/>
      <c r="H25" s="8">
        <v>1658.98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1658.98</v>
      </c>
      <c r="Q25" s="3"/>
      <c r="R25" s="7">
        <f t="shared" si="4"/>
        <v>0</v>
      </c>
      <c r="S25" s="3"/>
      <c r="T25" s="8">
        <v>1658.98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856.8</v>
      </c>
      <c r="E26" s="3"/>
      <c r="F26" s="7">
        <f t="shared" si="0"/>
        <v>0</v>
      </c>
      <c r="G26" s="3"/>
      <c r="H26" s="8">
        <v>856.8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856.8</v>
      </c>
      <c r="Q26" s="3"/>
      <c r="R26" s="7">
        <f t="shared" si="4"/>
        <v>0</v>
      </c>
      <c r="S26" s="3"/>
      <c r="T26" s="8">
        <v>856.8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34.369999999999997</v>
      </c>
      <c r="E27" s="3"/>
      <c r="F27" s="7">
        <f t="shared" si="0"/>
        <v>0</v>
      </c>
      <c r="G27" s="3"/>
      <c r="H27" s="8">
        <v>24</v>
      </c>
      <c r="I27" s="3"/>
      <c r="J27" s="7">
        <f t="shared" si="1"/>
        <v>0</v>
      </c>
      <c r="K27" s="3"/>
      <c r="L27" s="8">
        <f t="shared" si="2"/>
        <v>10.369999999999997</v>
      </c>
      <c r="M27" s="3"/>
      <c r="N27" s="7">
        <f t="shared" si="3"/>
        <v>0.43208333333333321</v>
      </c>
      <c r="O27" s="12"/>
      <c r="P27" s="8">
        <v>34.369999999999997</v>
      </c>
      <c r="Q27" s="3"/>
      <c r="R27" s="7">
        <f t="shared" si="4"/>
        <v>0</v>
      </c>
      <c r="S27" s="3"/>
      <c r="T27" s="8">
        <v>24</v>
      </c>
      <c r="U27" s="3"/>
      <c r="V27" s="7">
        <f t="shared" si="5"/>
        <v>0</v>
      </c>
      <c r="W27" s="3"/>
      <c r="X27" s="8">
        <f t="shared" si="6"/>
        <v>10.369999999999997</v>
      </c>
      <c r="Y27" s="3"/>
      <c r="Z27" s="7">
        <f t="shared" si="7"/>
        <v>0.43208333333333321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21772.7</v>
      </c>
      <c r="E28" s="1"/>
      <c r="F28" s="5">
        <f t="shared" ref="F28:F30" si="8">IF(D$12=0,0,D28/D$12)</f>
        <v>0</v>
      </c>
      <c r="G28" s="1"/>
      <c r="H28" s="1">
        <f>SUM(OSRRefH22_1x_0)</f>
        <v>20793.400000000001</v>
      </c>
      <c r="I28" s="1"/>
      <c r="J28" s="5">
        <f t="shared" ref="J28:J30" si="9">IF(H$12=0,0,H28/H$12)</f>
        <v>0</v>
      </c>
      <c r="K28" s="1"/>
      <c r="L28" s="1">
        <f t="shared" ref="L28:L30" si="10">+D28-H28</f>
        <v>979.29999999999927</v>
      </c>
      <c r="M28" s="1"/>
      <c r="N28" s="5">
        <f t="shared" ref="N28:N30" si="11">IF(H28=0,0,L28/H28)</f>
        <v>4.7096674906460669E-2</v>
      </c>
      <c r="O28" s="14"/>
      <c r="P28" s="1">
        <f>SUM(OSRRefP22_1x_0)</f>
        <v>21772.7</v>
      </c>
      <c r="Q28" s="1"/>
      <c r="R28" s="5">
        <f t="shared" ref="R28:R30" si="12">IF(P$12=0,0,P28/P$12)</f>
        <v>0</v>
      </c>
      <c r="S28" s="1"/>
      <c r="T28" s="1">
        <f>SUM(OSRRefT22_1x_0)</f>
        <v>20793.400000000001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979.29999999999927</v>
      </c>
      <c r="Y28" s="1"/>
      <c r="Z28" s="5">
        <f t="shared" ref="Z28:Z30" si="15">IF(T28=0,0,X28/T28)</f>
        <v>4.7096674906460669E-2</v>
      </c>
    </row>
    <row r="29" spans="1:26" s="24" customFormat="1" hidden="1" outlineLevel="2" x14ac:dyDescent="0.3">
      <c r="A29" s="27"/>
      <c r="B29" s="12" t="str">
        <f>CONCATENATE("          ", "6001", " - ", "ADMINISTRATIVE SALARIES")</f>
        <v xml:space="preserve">          6001 - ADMINISTRATIVE SALARIES</v>
      </c>
      <c r="C29" s="12"/>
      <c r="D29" s="8">
        <v>16876.34</v>
      </c>
      <c r="E29" s="3"/>
      <c r="F29" s="7">
        <f t="shared" si="8"/>
        <v>0</v>
      </c>
      <c r="G29" s="3"/>
      <c r="H29" s="8">
        <v>16876.34</v>
      </c>
      <c r="I29" s="3"/>
      <c r="J29" s="7">
        <f t="shared" si="9"/>
        <v>0</v>
      </c>
      <c r="K29" s="3"/>
      <c r="L29" s="8">
        <f t="shared" si="10"/>
        <v>0</v>
      </c>
      <c r="M29" s="3"/>
      <c r="N29" s="7">
        <f t="shared" si="11"/>
        <v>0</v>
      </c>
      <c r="O29" s="12"/>
      <c r="P29" s="8">
        <v>16876.34</v>
      </c>
      <c r="Q29" s="3"/>
      <c r="R29" s="7">
        <f t="shared" si="12"/>
        <v>0</v>
      </c>
      <c r="S29" s="3"/>
      <c r="T29" s="8">
        <v>16876.34</v>
      </c>
      <c r="U29" s="3"/>
      <c r="V29" s="7">
        <f t="shared" si="13"/>
        <v>0</v>
      </c>
      <c r="W29" s="3"/>
      <c r="X29" s="8">
        <f t="shared" si="14"/>
        <v>0</v>
      </c>
      <c r="Y29" s="3"/>
      <c r="Z29" s="7">
        <f t="shared" si="15"/>
        <v>0</v>
      </c>
    </row>
    <row r="30" spans="1:26" s="24" customFormat="1" hidden="1" outlineLevel="2" x14ac:dyDescent="0.3">
      <c r="A30" s="27"/>
      <c r="B30" s="12" t="str">
        <f>CONCATENATE("          ", "6002", " - ", "STAFF SALARIES")</f>
        <v xml:space="preserve">          6002 - STAFF SALARIES</v>
      </c>
      <c r="C30" s="12"/>
      <c r="D30" s="8">
        <v>4896.3599999999997</v>
      </c>
      <c r="E30" s="3"/>
      <c r="F30" s="7">
        <f t="shared" si="8"/>
        <v>0</v>
      </c>
      <c r="G30" s="3"/>
      <c r="H30" s="8">
        <v>3917.06</v>
      </c>
      <c r="I30" s="3"/>
      <c r="J30" s="7">
        <f t="shared" si="9"/>
        <v>0</v>
      </c>
      <c r="K30" s="3"/>
      <c r="L30" s="8">
        <f t="shared" si="10"/>
        <v>979.29999999999973</v>
      </c>
      <c r="M30" s="3"/>
      <c r="N30" s="7">
        <f t="shared" si="11"/>
        <v>0.25000893527288315</v>
      </c>
      <c r="O30" s="12"/>
      <c r="P30" s="8">
        <v>4896.3599999999997</v>
      </c>
      <c r="Q30" s="3"/>
      <c r="R30" s="7">
        <f t="shared" si="12"/>
        <v>0</v>
      </c>
      <c r="S30" s="3"/>
      <c r="T30" s="8">
        <v>3917.06</v>
      </c>
      <c r="U30" s="3"/>
      <c r="V30" s="7">
        <f t="shared" si="13"/>
        <v>0</v>
      </c>
      <c r="W30" s="3"/>
      <c r="X30" s="8">
        <f t="shared" si="14"/>
        <v>979.29999999999973</v>
      </c>
      <c r="Y30" s="3"/>
      <c r="Z30" s="7">
        <f t="shared" si="15"/>
        <v>0.25000893527288315</v>
      </c>
    </row>
    <row r="31" spans="1:26" s="29" customFormat="1" outlineLevel="1" collapsed="1" x14ac:dyDescent="0.3">
      <c r="A31" s="28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0</v>
      </c>
      <c r="E31" s="1"/>
      <c r="F31" s="5">
        <f t="shared" ref="F31:F47" si="16">IF(D$12=0,0,D31/D$12)</f>
        <v>0</v>
      </c>
      <c r="G31" s="1"/>
      <c r="H31" s="1">
        <f>SUM(OSRRefH22_2x_0)</f>
        <v>58.38</v>
      </c>
      <c r="I31" s="1"/>
      <c r="J31" s="5">
        <f t="shared" ref="J31:J47" si="17">IF(H$12=0,0,H31/H$12)</f>
        <v>0</v>
      </c>
      <c r="K31" s="1"/>
      <c r="L31" s="1">
        <f t="shared" ref="L31:L47" si="18">+D31-H31</f>
        <v>-58.38</v>
      </c>
      <c r="M31" s="1"/>
      <c r="N31" s="5">
        <f t="shared" ref="N31:N47" si="19">IF(H31=0,0,L31/H31)</f>
        <v>-1</v>
      </c>
      <c r="O31" s="14"/>
      <c r="P31" s="1">
        <f>SUM(OSRRefP22_2x_0)</f>
        <v>0</v>
      </c>
      <c r="Q31" s="1"/>
      <c r="R31" s="5">
        <f t="shared" ref="R31:R47" si="20">IF(P$12=0,0,P31/P$12)</f>
        <v>0</v>
      </c>
      <c r="S31" s="1"/>
      <c r="T31" s="1">
        <f>SUM(OSRRefT22_2x_0)</f>
        <v>58.38</v>
      </c>
      <c r="U31" s="1"/>
      <c r="V31" s="5">
        <f t="shared" ref="V31:V47" si="21">IF(T$12=0,0,T31/T$12)</f>
        <v>0</v>
      </c>
      <c r="W31" s="1"/>
      <c r="X31" s="1">
        <f t="shared" ref="X31:X47" si="22">+P31-T31</f>
        <v>-58.38</v>
      </c>
      <c r="Y31" s="1"/>
      <c r="Z31" s="5">
        <f t="shared" ref="Z31:Z47" si="23">IF(T31=0,0,X31/T31)</f>
        <v>-1</v>
      </c>
    </row>
    <row r="32" spans="1:26" s="24" customFormat="1" hidden="1" outlineLevel="2" x14ac:dyDescent="0.3">
      <c r="A32" s="27"/>
      <c r="B32" s="12" t="str">
        <f>CONCATENATE("          ", "6362", " - ", "ADVERTISING EXPENSE")</f>
        <v xml:space="preserve">          6362 - ADVERTISING EXPENSE</v>
      </c>
      <c r="C32" s="12"/>
      <c r="D32" s="8"/>
      <c r="E32" s="3"/>
      <c r="F32" s="7">
        <f t="shared" si="16"/>
        <v>0</v>
      </c>
      <c r="G32" s="3"/>
      <c r="H32" s="8">
        <v>58.38</v>
      </c>
      <c r="I32" s="3"/>
      <c r="J32" s="7">
        <f t="shared" si="17"/>
        <v>0</v>
      </c>
      <c r="K32" s="3"/>
      <c r="L32" s="8">
        <f t="shared" si="18"/>
        <v>-58.38</v>
      </c>
      <c r="M32" s="3"/>
      <c r="N32" s="7">
        <f t="shared" si="19"/>
        <v>-1</v>
      </c>
      <c r="O32" s="12"/>
      <c r="P32" s="8"/>
      <c r="Q32" s="3"/>
      <c r="R32" s="7">
        <f t="shared" si="20"/>
        <v>0</v>
      </c>
      <c r="S32" s="3"/>
      <c r="T32" s="8">
        <v>58.38</v>
      </c>
      <c r="U32" s="3"/>
      <c r="V32" s="7">
        <f t="shared" si="21"/>
        <v>0</v>
      </c>
      <c r="W32" s="3"/>
      <c r="X32" s="8">
        <f t="shared" si="22"/>
        <v>-58.38</v>
      </c>
      <c r="Y32" s="3"/>
      <c r="Z32" s="7">
        <f t="shared" si="23"/>
        <v>-1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314.87</v>
      </c>
      <c r="E33" s="1"/>
      <c r="F33" s="5">
        <f t="shared" si="16"/>
        <v>0</v>
      </c>
      <c r="G33" s="1"/>
      <c r="H33" s="1">
        <f>SUM(OSRRefH22_3x_0)</f>
        <v>314.87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314.87</v>
      </c>
      <c r="Q33" s="1"/>
      <c r="R33" s="5">
        <f t="shared" si="20"/>
        <v>0</v>
      </c>
      <c r="S33" s="1"/>
      <c r="T33" s="1">
        <f>SUM(OSRRefT22_3x_0)</f>
        <v>314.87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3">
      <c r="A34" s="27"/>
      <c r="B34" s="12" t="str">
        <f>CONCATENATE("          ", "6322", " - ", "EQUIPMENT DEPRECIATION EXPENSE")</f>
        <v xml:space="preserve">          6322 - EQUIPMENT DEPRECIATION EXPENSE</v>
      </c>
      <c r="C34" s="12"/>
      <c r="D34" s="8">
        <v>314.87</v>
      </c>
      <c r="E34" s="3"/>
      <c r="F34" s="7">
        <f t="shared" si="16"/>
        <v>0</v>
      </c>
      <c r="G34" s="3"/>
      <c r="H34" s="8">
        <v>314.87</v>
      </c>
      <c r="I34" s="3"/>
      <c r="J34" s="7">
        <f t="shared" si="17"/>
        <v>0</v>
      </c>
      <c r="K34" s="3"/>
      <c r="L34" s="8">
        <f t="shared" si="18"/>
        <v>0</v>
      </c>
      <c r="M34" s="3"/>
      <c r="N34" s="7">
        <f t="shared" si="19"/>
        <v>0</v>
      </c>
      <c r="O34" s="12"/>
      <c r="P34" s="8">
        <v>314.87</v>
      </c>
      <c r="Q34" s="3"/>
      <c r="R34" s="7">
        <f t="shared" si="20"/>
        <v>0</v>
      </c>
      <c r="S34" s="3"/>
      <c r="T34" s="8">
        <v>314.87</v>
      </c>
      <c r="U34" s="3"/>
      <c r="V34" s="7">
        <f t="shared" si="21"/>
        <v>0</v>
      </c>
      <c r="W34" s="3"/>
      <c r="X34" s="8">
        <f t="shared" si="22"/>
        <v>0</v>
      </c>
      <c r="Y34" s="3"/>
      <c r="Z34" s="7">
        <f t="shared" si="23"/>
        <v>0</v>
      </c>
    </row>
    <row r="35" spans="1:26" s="29" customFormat="1" outlineLevel="1" collapsed="1" x14ac:dyDescent="0.3">
      <c r="A35" s="28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SUM(OSRRefD22_4x_0)</f>
        <v>117.71</v>
      </c>
      <c r="E35" s="1"/>
      <c r="F35" s="5">
        <f t="shared" si="16"/>
        <v>0</v>
      </c>
      <c r="G35" s="1"/>
      <c r="H35" s="1">
        <f>SUM(OSRRefH22_4x_0)</f>
        <v>117.71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117.71</v>
      </c>
      <c r="Q35" s="1"/>
      <c r="R35" s="5">
        <f t="shared" si="20"/>
        <v>0</v>
      </c>
      <c r="S35" s="1"/>
      <c r="T35" s="1">
        <f>SUM(OSRRefT22_4x_0)</f>
        <v>117.71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2" t="str">
        <f>CONCATENATE("          ", "6351", " - ", "EQUIPMENT RENTAL")</f>
        <v xml:space="preserve">          6351 - EQUIPMENT RENTAL</v>
      </c>
      <c r="C36" s="12"/>
      <c r="D36" s="8">
        <v>117.71</v>
      </c>
      <c r="E36" s="3"/>
      <c r="F36" s="7">
        <f t="shared" si="16"/>
        <v>0</v>
      </c>
      <c r="G36" s="3"/>
      <c r="H36" s="8">
        <v>117.71</v>
      </c>
      <c r="I36" s="3"/>
      <c r="J36" s="7">
        <f t="shared" si="17"/>
        <v>0</v>
      </c>
      <c r="K36" s="3"/>
      <c r="L36" s="8">
        <f t="shared" si="18"/>
        <v>0</v>
      </c>
      <c r="M36" s="3"/>
      <c r="N36" s="7">
        <f t="shared" si="19"/>
        <v>0</v>
      </c>
      <c r="O36" s="12"/>
      <c r="P36" s="8">
        <v>117.71</v>
      </c>
      <c r="Q36" s="3"/>
      <c r="R36" s="7">
        <f t="shared" si="20"/>
        <v>0</v>
      </c>
      <c r="S36" s="3"/>
      <c r="T36" s="8">
        <v>117.71</v>
      </c>
      <c r="U36" s="3"/>
      <c r="V36" s="7">
        <f t="shared" si="21"/>
        <v>0</v>
      </c>
      <c r="W36" s="3"/>
      <c r="X36" s="8">
        <f t="shared" si="22"/>
        <v>0</v>
      </c>
      <c r="Y36" s="3"/>
      <c r="Z36" s="7">
        <f t="shared" si="23"/>
        <v>0</v>
      </c>
    </row>
    <row r="37" spans="1:26" s="29" customFormat="1" outlineLevel="1" collapsed="1" x14ac:dyDescent="0.3">
      <c r="A37" s="28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SUM(OSRRefD22_5x_0)</f>
        <v>12.88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12.88</v>
      </c>
      <c r="M37" s="1"/>
      <c r="N37" s="5">
        <f t="shared" si="19"/>
        <v>0</v>
      </c>
      <c r="O37" s="14"/>
      <c r="P37" s="1">
        <f>SUM(OSRRefP22_5x_0)</f>
        <v>12.88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12.88</v>
      </c>
      <c r="Y37" s="1"/>
      <c r="Z37" s="5">
        <f t="shared" si="23"/>
        <v>0</v>
      </c>
    </row>
    <row r="38" spans="1:26" s="24" customFormat="1" hidden="1" outlineLevel="2" x14ac:dyDescent="0.3">
      <c r="A38" s="27"/>
      <c r="B38" s="12" t="str">
        <f>CONCATENATE("          ", "6307", " - ", "POSTAGE")</f>
        <v xml:space="preserve">          6307 - POSTAGE</v>
      </c>
      <c r="C38" s="12"/>
      <c r="D38" s="8">
        <v>12.88</v>
      </c>
      <c r="E38" s="3"/>
      <c r="F38" s="7">
        <f t="shared" si="16"/>
        <v>0</v>
      </c>
      <c r="G38" s="3"/>
      <c r="H38" s="8"/>
      <c r="I38" s="3"/>
      <c r="J38" s="7">
        <f t="shared" si="17"/>
        <v>0</v>
      </c>
      <c r="K38" s="3"/>
      <c r="L38" s="8">
        <f t="shared" si="18"/>
        <v>12.88</v>
      </c>
      <c r="M38" s="3"/>
      <c r="N38" s="7">
        <f t="shared" si="19"/>
        <v>0</v>
      </c>
      <c r="O38" s="12"/>
      <c r="P38" s="8">
        <v>12.88</v>
      </c>
      <c r="Q38" s="3"/>
      <c r="R38" s="7">
        <f t="shared" si="20"/>
        <v>0</v>
      </c>
      <c r="S38" s="3"/>
      <c r="T38" s="8"/>
      <c r="U38" s="3"/>
      <c r="V38" s="7">
        <f t="shared" si="21"/>
        <v>0</v>
      </c>
      <c r="W38" s="3"/>
      <c r="X38" s="8">
        <f t="shared" si="22"/>
        <v>12.88</v>
      </c>
      <c r="Y38" s="3"/>
      <c r="Z38" s="7">
        <f t="shared" si="23"/>
        <v>0</v>
      </c>
    </row>
    <row r="39" spans="1:26" s="29" customFormat="1" outlineLevel="1" collapsed="1" x14ac:dyDescent="0.3">
      <c r="A39" s="28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SUM(OSRRefD22_6x_0)</f>
        <v>156.47999999999999</v>
      </c>
      <c r="E39" s="1"/>
      <c r="F39" s="5">
        <f t="shared" si="16"/>
        <v>0</v>
      </c>
      <c r="G39" s="1"/>
      <c r="H39" s="1">
        <f>SUM(OSRRefH22_6x_0)</f>
        <v>115.13</v>
      </c>
      <c r="I39" s="1"/>
      <c r="J39" s="5">
        <f t="shared" si="17"/>
        <v>0</v>
      </c>
      <c r="K39" s="1"/>
      <c r="L39" s="1">
        <f t="shared" si="18"/>
        <v>41.349999999999994</v>
      </c>
      <c r="M39" s="1"/>
      <c r="N39" s="5">
        <f t="shared" si="19"/>
        <v>0.35915921132632672</v>
      </c>
      <c r="O39" s="14"/>
      <c r="P39" s="1">
        <f>SUM(OSRRefP22_6x_0)</f>
        <v>156.47999999999999</v>
      </c>
      <c r="Q39" s="1"/>
      <c r="R39" s="5">
        <f t="shared" si="20"/>
        <v>0</v>
      </c>
      <c r="S39" s="1"/>
      <c r="T39" s="1">
        <f>SUM(OSRRefT22_6x_0)</f>
        <v>115.13</v>
      </c>
      <c r="U39" s="1"/>
      <c r="V39" s="5">
        <f t="shared" si="21"/>
        <v>0</v>
      </c>
      <c r="W39" s="1"/>
      <c r="X39" s="1">
        <f t="shared" si="22"/>
        <v>41.349999999999994</v>
      </c>
      <c r="Y39" s="1"/>
      <c r="Z39" s="5">
        <f t="shared" si="23"/>
        <v>0.35915921132632672</v>
      </c>
    </row>
    <row r="40" spans="1:26" s="24" customFormat="1" hidden="1" outlineLevel="2" x14ac:dyDescent="0.3">
      <c r="A40" s="27"/>
      <c r="B40" s="12" t="str">
        <f>CONCATENATE("          ", "6314", " - ", "LIABILITY INSURANCE")</f>
        <v xml:space="preserve">          6314 - LIABILITY INSURANCE</v>
      </c>
      <c r="C40" s="12"/>
      <c r="D40" s="8">
        <v>156.47999999999999</v>
      </c>
      <c r="E40" s="3"/>
      <c r="F40" s="7">
        <f t="shared" si="16"/>
        <v>0</v>
      </c>
      <c r="G40" s="3"/>
      <c r="H40" s="8">
        <v>115.13</v>
      </c>
      <c r="I40" s="3"/>
      <c r="J40" s="7">
        <f t="shared" si="17"/>
        <v>0</v>
      </c>
      <c r="K40" s="3"/>
      <c r="L40" s="8">
        <f t="shared" si="18"/>
        <v>41.349999999999994</v>
      </c>
      <c r="M40" s="3"/>
      <c r="N40" s="7">
        <f t="shared" si="19"/>
        <v>0.35915921132632672</v>
      </c>
      <c r="O40" s="12"/>
      <c r="P40" s="8">
        <v>156.47999999999999</v>
      </c>
      <c r="Q40" s="3"/>
      <c r="R40" s="7">
        <f t="shared" si="20"/>
        <v>0</v>
      </c>
      <c r="S40" s="3"/>
      <c r="T40" s="8">
        <v>115.13</v>
      </c>
      <c r="U40" s="3"/>
      <c r="V40" s="7">
        <f t="shared" si="21"/>
        <v>0</v>
      </c>
      <c r="W40" s="3"/>
      <c r="X40" s="8">
        <f t="shared" si="22"/>
        <v>41.349999999999994</v>
      </c>
      <c r="Y40" s="3"/>
      <c r="Z40" s="7">
        <f t="shared" si="23"/>
        <v>0.35915921132632672</v>
      </c>
    </row>
    <row r="41" spans="1:26" s="29" customFormat="1" outlineLevel="1" collapsed="1" x14ac:dyDescent="0.3">
      <c r="A41" s="28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100</v>
      </c>
      <c r="I41" s="1"/>
      <c r="J41" s="5">
        <f t="shared" si="17"/>
        <v>0</v>
      </c>
      <c r="K41" s="1"/>
      <c r="L41" s="1">
        <f t="shared" si="18"/>
        <v>-100</v>
      </c>
      <c r="M41" s="1"/>
      <c r="N41" s="5">
        <f t="shared" si="19"/>
        <v>-1</v>
      </c>
      <c r="O41" s="14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100</v>
      </c>
      <c r="U41" s="1"/>
      <c r="V41" s="5">
        <f t="shared" si="21"/>
        <v>0</v>
      </c>
      <c r="W41" s="1"/>
      <c r="X41" s="1">
        <f t="shared" si="22"/>
        <v>-100</v>
      </c>
      <c r="Y41" s="1"/>
      <c r="Z41" s="5">
        <f t="shared" si="23"/>
        <v>-1</v>
      </c>
    </row>
    <row r="42" spans="1:26" s="24" customFormat="1" hidden="1" outlineLevel="2" x14ac:dyDescent="0.3">
      <c r="A42" s="27"/>
      <c r="B42" s="12" t="str">
        <f>CONCATENATE("          ", "6334", " - ", "LEGAL COUNCIL EXPENSE")</f>
        <v xml:space="preserve">          6334 - LEGAL COUNCIL EXPENSE</v>
      </c>
      <c r="C42" s="12"/>
      <c r="D42" s="8"/>
      <c r="E42" s="3"/>
      <c r="F42" s="7">
        <f t="shared" si="16"/>
        <v>0</v>
      </c>
      <c r="G42" s="3"/>
      <c r="H42" s="8">
        <v>100</v>
      </c>
      <c r="I42" s="3"/>
      <c r="J42" s="7">
        <f t="shared" si="17"/>
        <v>0</v>
      </c>
      <c r="K42" s="3"/>
      <c r="L42" s="8">
        <f t="shared" si="18"/>
        <v>-100</v>
      </c>
      <c r="M42" s="3"/>
      <c r="N42" s="7">
        <f t="shared" si="19"/>
        <v>-1</v>
      </c>
      <c r="O42" s="12"/>
      <c r="P42" s="8"/>
      <c r="Q42" s="3"/>
      <c r="R42" s="7">
        <f t="shared" si="20"/>
        <v>0</v>
      </c>
      <c r="S42" s="3"/>
      <c r="T42" s="8">
        <v>100</v>
      </c>
      <c r="U42" s="3"/>
      <c r="V42" s="7">
        <f t="shared" si="21"/>
        <v>0</v>
      </c>
      <c r="W42" s="3"/>
      <c r="X42" s="8">
        <f t="shared" si="22"/>
        <v>-100</v>
      </c>
      <c r="Y42" s="3"/>
      <c r="Z42" s="7">
        <f t="shared" si="23"/>
        <v>-1</v>
      </c>
    </row>
    <row r="43" spans="1:26" s="29" customFormat="1" outlineLevel="1" collapsed="1" x14ac:dyDescent="0.3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SUM(OSRRefD22_8x_0)</f>
        <v>2592.1799999999998</v>
      </c>
      <c r="E43" s="1"/>
      <c r="F43" s="5">
        <f t="shared" si="16"/>
        <v>0</v>
      </c>
      <c r="G43" s="1"/>
      <c r="H43" s="1">
        <f>SUM(OSRRefH22_8x_0)</f>
        <v>2587.73</v>
      </c>
      <c r="I43" s="1"/>
      <c r="J43" s="5">
        <f t="shared" si="17"/>
        <v>0</v>
      </c>
      <c r="K43" s="1"/>
      <c r="L43" s="1">
        <f t="shared" si="18"/>
        <v>4.4499999999998181</v>
      </c>
      <c r="M43" s="1"/>
      <c r="N43" s="5">
        <f t="shared" si="19"/>
        <v>1.7196539051600507E-3</v>
      </c>
      <c r="O43" s="14"/>
      <c r="P43" s="1">
        <f>SUM(OSRRefP22_8x_0)</f>
        <v>2592.1799999999998</v>
      </c>
      <c r="Q43" s="1"/>
      <c r="R43" s="5">
        <f t="shared" si="20"/>
        <v>0</v>
      </c>
      <c r="S43" s="1"/>
      <c r="T43" s="1">
        <f>SUM(OSRRefT22_8x_0)</f>
        <v>2587.73</v>
      </c>
      <c r="U43" s="1"/>
      <c r="V43" s="5">
        <f t="shared" si="21"/>
        <v>0</v>
      </c>
      <c r="W43" s="1"/>
      <c r="X43" s="1">
        <f t="shared" si="22"/>
        <v>4.4499999999998181</v>
      </c>
      <c r="Y43" s="1"/>
      <c r="Z43" s="5">
        <f t="shared" si="23"/>
        <v>1.7196539051600507E-3</v>
      </c>
    </row>
    <row r="44" spans="1:26" s="24" customFormat="1" hidden="1" outlineLevel="2" x14ac:dyDescent="0.3">
      <c r="A44" s="27"/>
      <c r="B44" s="12" t="str">
        <f>CONCATENATE("          ", "6373", " - ", "MAINTENANCE CONTRACTS")</f>
        <v xml:space="preserve">          6373 - MAINTENANCE CONTRACTS</v>
      </c>
      <c r="C44" s="12"/>
      <c r="D44" s="8">
        <v>2592.1799999999998</v>
      </c>
      <c r="E44" s="3"/>
      <c r="F44" s="7">
        <f t="shared" si="16"/>
        <v>0</v>
      </c>
      <c r="G44" s="3"/>
      <c r="H44" s="8">
        <v>2587.73</v>
      </c>
      <c r="I44" s="3"/>
      <c r="J44" s="7">
        <f t="shared" si="17"/>
        <v>0</v>
      </c>
      <c r="K44" s="3"/>
      <c r="L44" s="8">
        <f t="shared" si="18"/>
        <v>4.4499999999998181</v>
      </c>
      <c r="M44" s="3"/>
      <c r="N44" s="7">
        <f t="shared" si="19"/>
        <v>1.7196539051600507E-3</v>
      </c>
      <c r="O44" s="12"/>
      <c r="P44" s="8">
        <v>2592.1799999999998</v>
      </c>
      <c r="Q44" s="3"/>
      <c r="R44" s="7">
        <f t="shared" si="20"/>
        <v>0</v>
      </c>
      <c r="S44" s="3"/>
      <c r="T44" s="8">
        <v>2587.73</v>
      </c>
      <c r="U44" s="3"/>
      <c r="V44" s="7">
        <f t="shared" si="21"/>
        <v>0</v>
      </c>
      <c r="W44" s="3"/>
      <c r="X44" s="8">
        <f t="shared" si="22"/>
        <v>4.4499999999998181</v>
      </c>
      <c r="Y44" s="3"/>
      <c r="Z44" s="7">
        <f t="shared" si="23"/>
        <v>1.7196539051600507E-3</v>
      </c>
    </row>
    <row r="45" spans="1:26" s="29" customFormat="1" outlineLevel="1" collapsed="1" x14ac:dyDescent="0.3">
      <c r="A45" s="28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SUM(OSRRefD22_9x_0)</f>
        <v>6.05</v>
      </c>
      <c r="E45" s="1"/>
      <c r="F45" s="5">
        <f t="shared" si="16"/>
        <v>0</v>
      </c>
      <c r="G45" s="1"/>
      <c r="H45" s="1">
        <f>SUM(OSRRefH22_9x_0)</f>
        <v>132.01</v>
      </c>
      <c r="I45" s="1"/>
      <c r="J45" s="5">
        <f t="shared" si="17"/>
        <v>0</v>
      </c>
      <c r="K45" s="1"/>
      <c r="L45" s="1">
        <f t="shared" si="18"/>
        <v>-125.96</v>
      </c>
      <c r="M45" s="1"/>
      <c r="N45" s="5">
        <f t="shared" si="19"/>
        <v>-0.95417013862586164</v>
      </c>
      <c r="O45" s="14"/>
      <c r="P45" s="1">
        <f>SUM(OSRRefP22_9x_0)</f>
        <v>6.05</v>
      </c>
      <c r="Q45" s="1"/>
      <c r="R45" s="5">
        <f t="shared" si="20"/>
        <v>0</v>
      </c>
      <c r="S45" s="1"/>
      <c r="T45" s="1">
        <f>SUM(OSRRefT22_9x_0)</f>
        <v>132.01</v>
      </c>
      <c r="U45" s="1"/>
      <c r="V45" s="5">
        <f t="shared" si="21"/>
        <v>0</v>
      </c>
      <c r="W45" s="1"/>
      <c r="X45" s="1">
        <f t="shared" si="22"/>
        <v>-125.96</v>
      </c>
      <c r="Y45" s="1"/>
      <c r="Z45" s="5">
        <f t="shared" si="23"/>
        <v>-0.95417013862586164</v>
      </c>
    </row>
    <row r="46" spans="1:26" s="24" customFormat="1" hidden="1" outlineLevel="2" x14ac:dyDescent="0.3">
      <c r="A46" s="27"/>
      <c r="B46" s="12" t="str">
        <f>CONCATENATE("          ", "6235", " - ", "COVID-19 EXPENSES")</f>
        <v xml:space="preserve">          6235 - COVID-19 EXPENSES</v>
      </c>
      <c r="C46" s="12"/>
      <c r="D46" s="8"/>
      <c r="E46" s="3"/>
      <c r="F46" s="7">
        <f t="shared" si="16"/>
        <v>0</v>
      </c>
      <c r="G46" s="3"/>
      <c r="H46" s="8">
        <v>106.94</v>
      </c>
      <c r="I46" s="3"/>
      <c r="J46" s="7">
        <f t="shared" si="17"/>
        <v>0</v>
      </c>
      <c r="K46" s="3"/>
      <c r="L46" s="8">
        <f t="shared" si="18"/>
        <v>-106.94</v>
      </c>
      <c r="M46" s="3"/>
      <c r="N46" s="7">
        <f t="shared" si="19"/>
        <v>-1</v>
      </c>
      <c r="O46" s="12"/>
      <c r="P46" s="8"/>
      <c r="Q46" s="3"/>
      <c r="R46" s="7">
        <f t="shared" si="20"/>
        <v>0</v>
      </c>
      <c r="S46" s="3"/>
      <c r="T46" s="8">
        <v>106.94</v>
      </c>
      <c r="U46" s="3"/>
      <c r="V46" s="7">
        <f t="shared" si="21"/>
        <v>0</v>
      </c>
      <c r="W46" s="3"/>
      <c r="X46" s="8">
        <f t="shared" si="22"/>
        <v>-106.94</v>
      </c>
      <c r="Y46" s="3"/>
      <c r="Z46" s="7">
        <f t="shared" si="23"/>
        <v>-1</v>
      </c>
    </row>
    <row r="47" spans="1:26" s="24" customFormat="1" hidden="1" outlineLevel="2" x14ac:dyDescent="0.3">
      <c r="A47" s="27"/>
      <c r="B47" s="12" t="str">
        <f>CONCATENATE("          ", "6241", " - ", "OFFICE EXPENSE")</f>
        <v xml:space="preserve">          6241 - OFFICE EXPENSE</v>
      </c>
      <c r="C47" s="12"/>
      <c r="D47" s="8">
        <v>6.05</v>
      </c>
      <c r="E47" s="3"/>
      <c r="F47" s="7">
        <f t="shared" si="16"/>
        <v>0</v>
      </c>
      <c r="G47" s="3"/>
      <c r="H47" s="8">
        <v>25.07</v>
      </c>
      <c r="I47" s="3"/>
      <c r="J47" s="7">
        <f t="shared" si="17"/>
        <v>0</v>
      </c>
      <c r="K47" s="3"/>
      <c r="L47" s="8">
        <f t="shared" si="18"/>
        <v>-19.02</v>
      </c>
      <c r="M47" s="3"/>
      <c r="N47" s="7">
        <f t="shared" si="19"/>
        <v>-0.7586757080175508</v>
      </c>
      <c r="O47" s="12"/>
      <c r="P47" s="8">
        <v>6.05</v>
      </c>
      <c r="Q47" s="3"/>
      <c r="R47" s="7">
        <f t="shared" si="20"/>
        <v>0</v>
      </c>
      <c r="S47" s="3"/>
      <c r="T47" s="8">
        <v>25.07</v>
      </c>
      <c r="U47" s="3"/>
      <c r="V47" s="7">
        <f t="shared" si="21"/>
        <v>0</v>
      </c>
      <c r="W47" s="3"/>
      <c r="X47" s="8">
        <f t="shared" si="22"/>
        <v>-19.02</v>
      </c>
      <c r="Y47" s="3"/>
      <c r="Z47" s="7">
        <f t="shared" si="23"/>
        <v>-0.7586757080175508</v>
      </c>
    </row>
    <row r="48" spans="1:26" s="29" customFormat="1" outlineLevel="1" collapsed="1" x14ac:dyDescent="0.3">
      <c r="A48" s="28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SUM(OSRRefD22_10x_0)</f>
        <v>655.26</v>
      </c>
      <c r="E48" s="1"/>
      <c r="F48" s="5">
        <f t="shared" ref="F48:F49" si="24">IF(D$12=0,0,D48/D$12)</f>
        <v>0</v>
      </c>
      <c r="G48" s="1"/>
      <c r="H48" s="1">
        <f>SUM(OSRRefH22_10x_0)</f>
        <v>303.16000000000003</v>
      </c>
      <c r="I48" s="1"/>
      <c r="J48" s="5">
        <f t="shared" ref="J48:J49" si="25">IF(H$12=0,0,H48/H$12)</f>
        <v>0</v>
      </c>
      <c r="K48" s="1"/>
      <c r="L48" s="1">
        <f t="shared" ref="L48:L49" si="26">+D48-H48</f>
        <v>352.09999999999997</v>
      </c>
      <c r="M48" s="1"/>
      <c r="N48" s="5">
        <f t="shared" ref="N48:N49" si="27">IF(H48=0,0,L48/H48)</f>
        <v>1.1614329067159255</v>
      </c>
      <c r="O48" s="14"/>
      <c r="P48" s="1">
        <f>SUM(OSRRefP22_10x_0)</f>
        <v>655.26</v>
      </c>
      <c r="Q48" s="1"/>
      <c r="R48" s="5">
        <f t="shared" ref="R48:R49" si="28">IF(P$12=0,0,P48/P$12)</f>
        <v>0</v>
      </c>
      <c r="S48" s="1"/>
      <c r="T48" s="1">
        <f>SUM(OSRRefT22_10x_0)</f>
        <v>303.16000000000003</v>
      </c>
      <c r="U48" s="1"/>
      <c r="V48" s="5">
        <f t="shared" ref="V48:V49" si="29">IF(T$12=0,0,T48/T$12)</f>
        <v>0</v>
      </c>
      <c r="W48" s="1"/>
      <c r="X48" s="1">
        <f t="shared" ref="X48:X49" si="30">+P48-T48</f>
        <v>352.09999999999997</v>
      </c>
      <c r="Y48" s="1"/>
      <c r="Z48" s="5">
        <f t="shared" ref="Z48:Z49" si="31">IF(T48=0,0,X48/T48)</f>
        <v>1.1614329067159255</v>
      </c>
    </row>
    <row r="49" spans="1:26" s="24" customFormat="1" hidden="1" outlineLevel="2" x14ac:dyDescent="0.3">
      <c r="A49" s="27"/>
      <c r="B49" s="12" t="str">
        <f>CONCATENATE("          ", "6309", " - ", "TELEPHONE")</f>
        <v xml:space="preserve">          6309 - TELEPHONE</v>
      </c>
      <c r="C49" s="12"/>
      <c r="D49" s="8">
        <v>655.26</v>
      </c>
      <c r="E49" s="3"/>
      <c r="F49" s="7">
        <f t="shared" si="24"/>
        <v>0</v>
      </c>
      <c r="G49" s="3"/>
      <c r="H49" s="8">
        <v>303.16000000000003</v>
      </c>
      <c r="I49" s="3"/>
      <c r="J49" s="7">
        <f t="shared" si="25"/>
        <v>0</v>
      </c>
      <c r="K49" s="3"/>
      <c r="L49" s="8">
        <f t="shared" si="26"/>
        <v>352.09999999999997</v>
      </c>
      <c r="M49" s="3"/>
      <c r="N49" s="7">
        <f t="shared" si="27"/>
        <v>1.1614329067159255</v>
      </c>
      <c r="O49" s="12"/>
      <c r="P49" s="8">
        <v>655.26</v>
      </c>
      <c r="Q49" s="3"/>
      <c r="R49" s="7">
        <f t="shared" si="28"/>
        <v>0</v>
      </c>
      <c r="S49" s="3"/>
      <c r="T49" s="8">
        <v>303.16000000000003</v>
      </c>
      <c r="U49" s="3"/>
      <c r="V49" s="7">
        <f t="shared" si="29"/>
        <v>0</v>
      </c>
      <c r="W49" s="3"/>
      <c r="X49" s="8">
        <f t="shared" si="30"/>
        <v>352.09999999999997</v>
      </c>
      <c r="Y49" s="3"/>
      <c r="Z49" s="7">
        <f t="shared" si="31"/>
        <v>1.1614329067159255</v>
      </c>
    </row>
    <row r="50" spans="1:26" s="53" customFormat="1" x14ac:dyDescent="0.3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5" t="s">
        <v>292</v>
      </c>
      <c r="C51" s="10"/>
      <c r="D51" s="4">
        <f>SUM(0)</f>
        <v>0</v>
      </c>
      <c r="E51" s="4"/>
      <c r="F51" s="11">
        <f>IF(D$12=0,0,D51/D$12)</f>
        <v>0</v>
      </c>
      <c r="G51" s="4"/>
      <c r="H51" s="4">
        <f>SUM(0)</f>
        <v>0</v>
      </c>
      <c r="I51" s="4"/>
      <c r="J51" s="11">
        <f>IF(H$12=0,0,H51/H$12)</f>
        <v>0</v>
      </c>
      <c r="K51" s="4"/>
      <c r="L51" s="4">
        <f>+D51-H51</f>
        <v>0</v>
      </c>
      <c r="M51" s="4"/>
      <c r="N51" s="11">
        <f>IF(H51=0,0,L51/H51)</f>
        <v>0</v>
      </c>
      <c r="O51" s="10"/>
      <c r="P51" s="4">
        <f>SUM(0)</f>
        <v>0</v>
      </c>
      <c r="Q51" s="4"/>
      <c r="R51" s="11">
        <f>IF(P$12=0,0,P51/P$12)</f>
        <v>0</v>
      </c>
      <c r="S51" s="4"/>
      <c r="T51" s="4">
        <f>SUM(0)</f>
        <v>0</v>
      </c>
      <c r="U51" s="4"/>
      <c r="V51" s="11">
        <f>IF(T$12=0,0,T51/T$12)</f>
        <v>0</v>
      </c>
      <c r="W51" s="4"/>
      <c r="X51" s="4">
        <f>+P51-T51</f>
        <v>0</v>
      </c>
      <c r="Y51" s="4"/>
      <c r="Z51" s="11">
        <f>IF(T51=0,0,X51/T51)</f>
        <v>0</v>
      </c>
    </row>
    <row r="52" spans="1:26" x14ac:dyDescent="0.3">
      <c r="A52" s="9"/>
      <c r="B52" s="10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10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3">
      <c r="A53" s="10"/>
      <c r="B53" s="26" t="s">
        <v>276</v>
      </c>
      <c r="C53" s="26"/>
      <c r="D53" s="20">
        <f>+D16-D18+D51</f>
        <v>-35851.090000000004</v>
      </c>
      <c r="E53" s="13"/>
      <c r="F53" s="21">
        <f>IF(D$12=0,0,D53/D$12)</f>
        <v>0</v>
      </c>
      <c r="G53" s="13"/>
      <c r="H53" s="20">
        <f>+H16-H18+H51</f>
        <v>-35660.750000000007</v>
      </c>
      <c r="I53" s="13"/>
      <c r="J53" s="21">
        <f>IF(H$12=0,0,H53/H$12)</f>
        <v>0</v>
      </c>
      <c r="K53" s="16"/>
      <c r="L53" s="20">
        <f>+D53-H53</f>
        <v>-190.33999999999651</v>
      </c>
      <c r="M53" s="16"/>
      <c r="N53" s="21">
        <f>IF(H53=0,0,L53/H53)</f>
        <v>5.3375209438947992E-3</v>
      </c>
      <c r="O53" s="25"/>
      <c r="P53" s="20">
        <f>+P16-P18+P51</f>
        <v>-35851.090000000004</v>
      </c>
      <c r="Q53" s="13"/>
      <c r="R53" s="21">
        <f>IF(P$12=0,0,P53/P$12)</f>
        <v>0</v>
      </c>
      <c r="S53" s="13"/>
      <c r="T53" s="20">
        <f>+T16-T18+T51</f>
        <v>-35660.750000000007</v>
      </c>
      <c r="U53" s="13"/>
      <c r="V53" s="21">
        <f>IF(T$12=0,0,T53/T$12)</f>
        <v>0</v>
      </c>
      <c r="W53" s="16"/>
      <c r="X53" s="20">
        <f>+P53-T53</f>
        <v>-190.33999999999651</v>
      </c>
      <c r="Y53" s="16"/>
      <c r="Z53" s="21">
        <f>IF(T53=0,0,X53/T53)</f>
        <v>5.3375209438947992E-3</v>
      </c>
    </row>
    <row r="54" spans="1:26" x14ac:dyDescent="0.3">
      <c r="A54" s="9"/>
      <c r="B54" s="10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x14ac:dyDescent="0.3">
      <c r="A55" s="51"/>
      <c r="B55" s="10" t="s">
        <v>127</v>
      </c>
      <c r="C55" s="10"/>
      <c r="D55" s="4"/>
      <c r="E55" s="4"/>
      <c r="F55" s="11">
        <f>IF(D$12=0,0,D55/D$12)</f>
        <v>0</v>
      </c>
      <c r="G55" s="4"/>
      <c r="H55" s="4"/>
      <c r="I55" s="4"/>
      <c r="J55" s="11">
        <f>IF(H$12=0,0,H55/H$12)</f>
        <v>0</v>
      </c>
      <c r="K55" s="4"/>
      <c r="L55" s="4">
        <f>+D55-H55</f>
        <v>0</v>
      </c>
      <c r="M55" s="4"/>
      <c r="N55" s="11">
        <f>IF(H55=0,0,L55/H55)</f>
        <v>0</v>
      </c>
      <c r="O55" s="10"/>
      <c r="P55" s="4"/>
      <c r="Q55" s="4"/>
      <c r="R55" s="11">
        <f>IF(P$12=0,0,P55/P$12)</f>
        <v>0</v>
      </c>
      <c r="S55" s="4"/>
      <c r="T55" s="4"/>
      <c r="U55" s="4"/>
      <c r="V55" s="11">
        <f>IF(T$12=0,0,T55/T$12)</f>
        <v>0</v>
      </c>
      <c r="W55" s="4"/>
      <c r="X55" s="4">
        <f>+P55-T55</f>
        <v>0</v>
      </c>
      <c r="Y55" s="4"/>
      <c r="Z55" s="11">
        <f>IF(T55=0,0,X55/T55)</f>
        <v>0</v>
      </c>
    </row>
    <row r="56" spans="1:26" x14ac:dyDescent="0.3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" thickBot="1" x14ac:dyDescent="0.35">
      <c r="A57" s="10"/>
      <c r="B57" s="26" t="s">
        <v>125</v>
      </c>
      <c r="C57" s="26"/>
      <c r="D57" s="36">
        <f>+D53-D55</f>
        <v>-35851.090000000004</v>
      </c>
      <c r="E57" s="13"/>
      <c r="F57" s="34">
        <f>IF(D$12=0,0,D57/D$12)</f>
        <v>0</v>
      </c>
      <c r="G57" s="13"/>
      <c r="H57" s="36">
        <f>+H53-H55</f>
        <v>-35660.750000000007</v>
      </c>
      <c r="I57" s="13"/>
      <c r="J57" s="34">
        <f>IF(H$12=0,0,H57/H$12)</f>
        <v>0</v>
      </c>
      <c r="K57" s="16"/>
      <c r="L57" s="36">
        <f>D57-H57</f>
        <v>-190.33999999999651</v>
      </c>
      <c r="M57" s="16"/>
      <c r="N57" s="34">
        <f>IF(H57=0,0,L57/H57)</f>
        <v>5.3375209438947992E-3</v>
      </c>
      <c r="O57" s="25"/>
      <c r="P57" s="36">
        <f>+P53-P55</f>
        <v>-35851.090000000004</v>
      </c>
      <c r="Q57" s="13"/>
      <c r="R57" s="34">
        <f>IF(P$12=0,0,P57/P$12)</f>
        <v>0</v>
      </c>
      <c r="S57" s="13"/>
      <c r="T57" s="36">
        <f>+T53-T55</f>
        <v>-35660.750000000007</v>
      </c>
      <c r="U57" s="13"/>
      <c r="V57" s="34">
        <f>IF(T$12=0,0,T57/T$12)</f>
        <v>0</v>
      </c>
      <c r="W57" s="16"/>
      <c r="X57" s="36">
        <f>P57-T57</f>
        <v>-190.33999999999651</v>
      </c>
      <c r="Y57" s="16"/>
      <c r="Z57" s="34">
        <f>IF(T57=0,0,X57/T57)</f>
        <v>5.3375209438947992E-3</v>
      </c>
    </row>
    <row r="58" spans="1:26" ht="15" thickTop="1" x14ac:dyDescent="0.3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x14ac:dyDescent="0.3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ht="15" thickBot="1" x14ac:dyDescent="0.35">
      <c r="A60" s="10"/>
      <c r="B60" s="26" t="s">
        <v>293</v>
      </c>
      <c r="C60" s="26"/>
      <c r="D60" s="31">
        <f>SUM(D57:D59)</f>
        <v>-35851.090000000004</v>
      </c>
      <c r="E60" s="13"/>
      <c r="F60" s="33">
        <f>IF(D$12=0,0,D60/D$12)</f>
        <v>0</v>
      </c>
      <c r="G60" s="13"/>
      <c r="H60" s="31">
        <f>SUM(H57:H59)</f>
        <v>-35660.750000000007</v>
      </c>
      <c r="I60" s="13"/>
      <c r="J60" s="33">
        <f>IF(H$12=0,0,H60/H$12)</f>
        <v>0</v>
      </c>
      <c r="K60" s="16"/>
      <c r="L60" s="31">
        <f>+D60-H60</f>
        <v>-190.33999999999651</v>
      </c>
      <c r="M60" s="16"/>
      <c r="N60" s="33">
        <f>IF(H60=0,0,L60/H60)</f>
        <v>5.3375209438947992E-3</v>
      </c>
      <c r="O60" s="25"/>
      <c r="P60" s="31">
        <f>SUM(P57:P59)</f>
        <v>-35851.090000000004</v>
      </c>
      <c r="Q60" s="13"/>
      <c r="R60" s="33">
        <f>IF(P$12=0,0,P60/P$12)</f>
        <v>0</v>
      </c>
      <c r="S60" s="13"/>
      <c r="T60" s="31">
        <f>SUM(T57:T59)</f>
        <v>-35660.750000000007</v>
      </c>
      <c r="U60" s="13"/>
      <c r="V60" s="33">
        <f>IF(T$12=0,0,T60/T$12)</f>
        <v>0</v>
      </c>
      <c r="W60" s="16"/>
      <c r="X60" s="31">
        <f>+P60-T60</f>
        <v>-190.33999999999651</v>
      </c>
      <c r="Y60" s="16"/>
      <c r="Z60" s="33">
        <f>IF(T60=0,0,X60/T60)</f>
        <v>5.3375209438947992E-3</v>
      </c>
    </row>
    <row r="61" spans="1:26" ht="15" thickTop="1" x14ac:dyDescent="0.3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59">
        <v>44462.666945868055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A63" s="9"/>
      <c r="B63" s="57" t="s">
        <v>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3">
      <c r="A64" s="9"/>
      <c r="B64" s="61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3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41601.359999999993</v>
      </c>
      <c r="E18" s="19"/>
      <c r="F18" s="35">
        <f t="shared" ref="F18:F27" si="0">IF(D$12=0,0,D18/D$12)</f>
        <v>0</v>
      </c>
      <c r="G18" s="19"/>
      <c r="H18" s="19">
        <f>SUM(OSRRefH22x_0)</f>
        <v>39398.04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2203.3199999999924</v>
      </c>
      <c r="M18" s="4"/>
      <c r="N18" s="35">
        <f t="shared" ref="N18:N27" si="3">IF(H18=0,0,L18/H18)</f>
        <v>5.5924609447576386E-2</v>
      </c>
      <c r="O18" s="10"/>
      <c r="P18" s="19">
        <f>SUM(OSRRefP22x_0)</f>
        <v>41601.359999999993</v>
      </c>
      <c r="Q18" s="19"/>
      <c r="R18" s="35">
        <f t="shared" ref="R18:R27" si="4">IF(P$12=0,0,P18/P$12)</f>
        <v>0</v>
      </c>
      <c r="S18" s="19"/>
      <c r="T18" s="19">
        <f>SUM(OSRRefT22x_0)</f>
        <v>39398.04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2203.3199999999924</v>
      </c>
      <c r="Y18" s="4"/>
      <c r="Z18" s="35">
        <f t="shared" ref="Z18:Z27" si="7">IF(T18=0,0,X18/T18)</f>
        <v>5.5924609447576386E-2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12645.33</v>
      </c>
      <c r="E19" s="1"/>
      <c r="F19" s="5">
        <f t="shared" si="0"/>
        <v>0</v>
      </c>
      <c r="G19" s="1"/>
      <c r="H19" s="1">
        <f>SUM(OSRRefH22_0x_0)</f>
        <v>13083.460000000001</v>
      </c>
      <c r="I19" s="1"/>
      <c r="J19" s="5">
        <f t="shared" si="1"/>
        <v>0</v>
      </c>
      <c r="K19" s="1"/>
      <c r="L19" s="1">
        <f t="shared" si="2"/>
        <v>-438.13000000000102</v>
      </c>
      <c r="M19" s="1"/>
      <c r="N19" s="5">
        <f t="shared" si="3"/>
        <v>-3.3487319103662254E-2</v>
      </c>
      <c r="O19" s="14"/>
      <c r="P19" s="1">
        <f>SUM(OSRRefP22_0x_0)</f>
        <v>12645.33</v>
      </c>
      <c r="Q19" s="1"/>
      <c r="R19" s="5">
        <f t="shared" si="4"/>
        <v>0</v>
      </c>
      <c r="S19" s="1"/>
      <c r="T19" s="1">
        <f>SUM(OSRRefT22_0x_0)</f>
        <v>13083.460000000001</v>
      </c>
      <c r="U19" s="1"/>
      <c r="V19" s="5">
        <f t="shared" si="5"/>
        <v>0</v>
      </c>
      <c r="W19" s="1"/>
      <c r="X19" s="1">
        <f t="shared" si="6"/>
        <v>-438.13000000000102</v>
      </c>
      <c r="Y19" s="1"/>
      <c r="Z19" s="5">
        <f t="shared" si="7"/>
        <v>-3.3487319103662254E-2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1624.37</v>
      </c>
      <c r="E20" s="3"/>
      <c r="F20" s="7">
        <f t="shared" si="0"/>
        <v>0</v>
      </c>
      <c r="G20" s="3"/>
      <c r="H20" s="8">
        <v>1621.35</v>
      </c>
      <c r="I20" s="3"/>
      <c r="J20" s="7">
        <f t="shared" si="1"/>
        <v>0</v>
      </c>
      <c r="K20" s="3"/>
      <c r="L20" s="8">
        <f t="shared" si="2"/>
        <v>3.0199999999999818</v>
      </c>
      <c r="M20" s="3"/>
      <c r="N20" s="7">
        <f t="shared" si="3"/>
        <v>1.8626453264254984E-3</v>
      </c>
      <c r="O20" s="12"/>
      <c r="P20" s="8">
        <v>1624.37</v>
      </c>
      <c r="Q20" s="3"/>
      <c r="R20" s="7">
        <f t="shared" si="4"/>
        <v>0</v>
      </c>
      <c r="S20" s="3"/>
      <c r="T20" s="8">
        <v>1621.35</v>
      </c>
      <c r="U20" s="3"/>
      <c r="V20" s="7">
        <f t="shared" si="5"/>
        <v>0</v>
      </c>
      <c r="W20" s="3"/>
      <c r="X20" s="8">
        <f t="shared" si="6"/>
        <v>3.0199999999999818</v>
      </c>
      <c r="Y20" s="3"/>
      <c r="Z20" s="7">
        <f t="shared" si="7"/>
        <v>1.8626453264254984E-3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273.92</v>
      </c>
      <c r="E21" s="3"/>
      <c r="F21" s="7">
        <f t="shared" si="0"/>
        <v>0</v>
      </c>
      <c r="G21" s="3"/>
      <c r="H21" s="8">
        <v>70.03</v>
      </c>
      <c r="I21" s="3"/>
      <c r="J21" s="7">
        <f t="shared" si="1"/>
        <v>0</v>
      </c>
      <c r="K21" s="3"/>
      <c r="L21" s="8">
        <f t="shared" si="2"/>
        <v>203.89000000000001</v>
      </c>
      <c r="M21" s="3"/>
      <c r="N21" s="7">
        <f t="shared" si="3"/>
        <v>2.9114665143509928</v>
      </c>
      <c r="O21" s="12"/>
      <c r="P21" s="8">
        <v>273.92</v>
      </c>
      <c r="Q21" s="3"/>
      <c r="R21" s="7">
        <f t="shared" si="4"/>
        <v>0</v>
      </c>
      <c r="S21" s="3"/>
      <c r="T21" s="8">
        <v>70.03</v>
      </c>
      <c r="U21" s="3"/>
      <c r="V21" s="7">
        <f t="shared" si="5"/>
        <v>0</v>
      </c>
      <c r="W21" s="3"/>
      <c r="X21" s="8">
        <f t="shared" si="6"/>
        <v>203.89000000000001</v>
      </c>
      <c r="Y21" s="3"/>
      <c r="Z21" s="7">
        <f t="shared" si="7"/>
        <v>2.9114665143509928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6221.66</v>
      </c>
      <c r="E22" s="3"/>
      <c r="F22" s="7">
        <f t="shared" si="0"/>
        <v>0</v>
      </c>
      <c r="G22" s="3"/>
      <c r="H22" s="8">
        <v>5567.04</v>
      </c>
      <c r="I22" s="3"/>
      <c r="J22" s="7">
        <f t="shared" si="1"/>
        <v>0</v>
      </c>
      <c r="K22" s="3"/>
      <c r="L22" s="8">
        <f t="shared" si="2"/>
        <v>654.61999999999989</v>
      </c>
      <c r="M22" s="3"/>
      <c r="N22" s="7">
        <f t="shared" si="3"/>
        <v>0.11758852100936941</v>
      </c>
      <c r="O22" s="12"/>
      <c r="P22" s="8">
        <v>6221.66</v>
      </c>
      <c r="Q22" s="3"/>
      <c r="R22" s="7">
        <f t="shared" si="4"/>
        <v>0</v>
      </c>
      <c r="S22" s="3"/>
      <c r="T22" s="8">
        <v>5567.04</v>
      </c>
      <c r="U22" s="3"/>
      <c r="V22" s="7">
        <f t="shared" si="5"/>
        <v>0</v>
      </c>
      <c r="W22" s="3"/>
      <c r="X22" s="8">
        <f t="shared" si="6"/>
        <v>654.61999999999989</v>
      </c>
      <c r="Y22" s="3"/>
      <c r="Z22" s="7">
        <f t="shared" si="7"/>
        <v>0.11758852100936941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55.21</v>
      </c>
      <c r="E23" s="3"/>
      <c r="F23" s="7">
        <f t="shared" si="0"/>
        <v>0</v>
      </c>
      <c r="G23" s="3"/>
      <c r="H23" s="8">
        <v>55.17</v>
      </c>
      <c r="I23" s="3"/>
      <c r="J23" s="7">
        <f t="shared" si="1"/>
        <v>0</v>
      </c>
      <c r="K23" s="3"/>
      <c r="L23" s="8">
        <f t="shared" si="2"/>
        <v>3.9999999999999147E-2</v>
      </c>
      <c r="M23" s="3"/>
      <c r="N23" s="7">
        <f t="shared" si="3"/>
        <v>7.2503172013774057E-4</v>
      </c>
      <c r="O23" s="12"/>
      <c r="P23" s="8">
        <v>55.21</v>
      </c>
      <c r="Q23" s="3"/>
      <c r="R23" s="7">
        <f t="shared" si="4"/>
        <v>0</v>
      </c>
      <c r="S23" s="3"/>
      <c r="T23" s="8">
        <v>55.17</v>
      </c>
      <c r="U23" s="3"/>
      <c r="V23" s="7">
        <f t="shared" si="5"/>
        <v>0</v>
      </c>
      <c r="W23" s="3"/>
      <c r="X23" s="8">
        <f t="shared" si="6"/>
        <v>3.9999999999999147E-2</v>
      </c>
      <c r="Y23" s="3"/>
      <c r="Z23" s="7">
        <f t="shared" si="7"/>
        <v>7.2503172013774057E-4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1947.91</v>
      </c>
      <c r="E24" s="3"/>
      <c r="F24" s="7">
        <f t="shared" si="0"/>
        <v>0</v>
      </c>
      <c r="G24" s="3"/>
      <c r="H24" s="8">
        <v>2968.15</v>
      </c>
      <c r="I24" s="3"/>
      <c r="J24" s="7">
        <f t="shared" si="1"/>
        <v>0</v>
      </c>
      <c r="K24" s="3"/>
      <c r="L24" s="8">
        <f t="shared" si="2"/>
        <v>-1020.24</v>
      </c>
      <c r="M24" s="3"/>
      <c r="N24" s="7">
        <f t="shared" si="3"/>
        <v>-0.34372925896602258</v>
      </c>
      <c r="O24" s="12"/>
      <c r="P24" s="8">
        <v>1947.91</v>
      </c>
      <c r="Q24" s="3"/>
      <c r="R24" s="7">
        <f t="shared" si="4"/>
        <v>0</v>
      </c>
      <c r="S24" s="3"/>
      <c r="T24" s="8">
        <v>2968.15</v>
      </c>
      <c r="U24" s="3"/>
      <c r="V24" s="7">
        <f t="shared" si="5"/>
        <v>0</v>
      </c>
      <c r="W24" s="3"/>
      <c r="X24" s="8">
        <f t="shared" si="6"/>
        <v>-1020.24</v>
      </c>
      <c r="Y24" s="3"/>
      <c r="Z24" s="7">
        <f t="shared" si="7"/>
        <v>-0.34372925896602258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1181.81</v>
      </c>
      <c r="E25" s="3"/>
      <c r="F25" s="7">
        <f t="shared" si="0"/>
        <v>0</v>
      </c>
      <c r="G25" s="3"/>
      <c r="H25" s="8">
        <v>1559.44</v>
      </c>
      <c r="I25" s="3"/>
      <c r="J25" s="7">
        <f t="shared" si="1"/>
        <v>0</v>
      </c>
      <c r="K25" s="3"/>
      <c r="L25" s="8">
        <f t="shared" si="2"/>
        <v>-377.63000000000011</v>
      </c>
      <c r="M25" s="3"/>
      <c r="N25" s="7">
        <f t="shared" si="3"/>
        <v>-0.24215744113271437</v>
      </c>
      <c r="O25" s="12"/>
      <c r="P25" s="8">
        <v>1181.81</v>
      </c>
      <c r="Q25" s="3"/>
      <c r="R25" s="7">
        <f t="shared" si="4"/>
        <v>0</v>
      </c>
      <c r="S25" s="3"/>
      <c r="T25" s="8">
        <v>1559.44</v>
      </c>
      <c r="U25" s="3"/>
      <c r="V25" s="7">
        <f t="shared" si="5"/>
        <v>0</v>
      </c>
      <c r="W25" s="3"/>
      <c r="X25" s="8">
        <f t="shared" si="6"/>
        <v>-377.63000000000011</v>
      </c>
      <c r="Y25" s="3"/>
      <c r="Z25" s="7">
        <f t="shared" si="7"/>
        <v>-0.24215744113271437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979.42</v>
      </c>
      <c r="E26" s="3"/>
      <c r="F26" s="7">
        <f t="shared" si="0"/>
        <v>0</v>
      </c>
      <c r="G26" s="3"/>
      <c r="H26" s="8">
        <v>979.42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979.42</v>
      </c>
      <c r="Q26" s="3"/>
      <c r="R26" s="7">
        <f t="shared" si="4"/>
        <v>0</v>
      </c>
      <c r="S26" s="3"/>
      <c r="T26" s="8">
        <v>979.42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361.03</v>
      </c>
      <c r="E27" s="3"/>
      <c r="F27" s="7">
        <f t="shared" si="0"/>
        <v>0</v>
      </c>
      <c r="G27" s="3"/>
      <c r="H27" s="8">
        <v>262.86</v>
      </c>
      <c r="I27" s="3"/>
      <c r="J27" s="7">
        <f t="shared" si="1"/>
        <v>0</v>
      </c>
      <c r="K27" s="3"/>
      <c r="L27" s="8">
        <f t="shared" si="2"/>
        <v>98.169999999999959</v>
      </c>
      <c r="M27" s="3"/>
      <c r="N27" s="7">
        <f t="shared" si="3"/>
        <v>0.37346876664384066</v>
      </c>
      <c r="O27" s="12"/>
      <c r="P27" s="8">
        <v>361.03</v>
      </c>
      <c r="Q27" s="3"/>
      <c r="R27" s="7">
        <f t="shared" si="4"/>
        <v>0</v>
      </c>
      <c r="S27" s="3"/>
      <c r="T27" s="8">
        <v>262.86</v>
      </c>
      <c r="U27" s="3"/>
      <c r="V27" s="7">
        <f t="shared" si="5"/>
        <v>0</v>
      </c>
      <c r="W27" s="3"/>
      <c r="X27" s="8">
        <f t="shared" si="6"/>
        <v>98.169999999999959</v>
      </c>
      <c r="Y27" s="3"/>
      <c r="Z27" s="7">
        <f t="shared" si="7"/>
        <v>0.37346876664384066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26240.76</v>
      </c>
      <c r="E28" s="1"/>
      <c r="F28" s="5">
        <f t="shared" ref="F28:F40" si="8">IF(D$12=0,0,D28/D$12)</f>
        <v>0</v>
      </c>
      <c r="G28" s="1"/>
      <c r="H28" s="1">
        <f>SUM(OSRRefH22_1x_0)</f>
        <v>22976.46</v>
      </c>
      <c r="I28" s="1"/>
      <c r="J28" s="5">
        <f t="shared" ref="J28:J40" si="9">IF(H$12=0,0,H28/H$12)</f>
        <v>0</v>
      </c>
      <c r="K28" s="1"/>
      <c r="L28" s="1">
        <f t="shared" ref="L28:L40" si="10">+D28-H28</f>
        <v>3264.2999999999993</v>
      </c>
      <c r="M28" s="1"/>
      <c r="N28" s="5">
        <f t="shared" ref="N28:N40" si="11">IF(H28=0,0,L28/H28)</f>
        <v>0.14207149404216313</v>
      </c>
      <c r="O28" s="14"/>
      <c r="P28" s="1">
        <f>SUM(OSRRefP22_1x_0)</f>
        <v>26240.76</v>
      </c>
      <c r="Q28" s="1"/>
      <c r="R28" s="5">
        <f t="shared" ref="R28:R40" si="12">IF(P$12=0,0,P28/P$12)</f>
        <v>0</v>
      </c>
      <c r="S28" s="1"/>
      <c r="T28" s="1">
        <f>SUM(OSRRefT22_1x_0)</f>
        <v>22976.46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3264.2999999999993</v>
      </c>
      <c r="Y28" s="1"/>
      <c r="Z28" s="5">
        <f t="shared" ref="Z28:Z40" si="15">IF(T28=0,0,X28/T28)</f>
        <v>0.14207149404216313</v>
      </c>
    </row>
    <row r="29" spans="1:26" s="24" customFormat="1" hidden="1" outlineLevel="2" x14ac:dyDescent="0.3">
      <c r="A29" s="27"/>
      <c r="B29" s="12" t="str">
        <f>CONCATENATE("          ", "6002", " - ", "STAFF SALARIES")</f>
        <v xml:space="preserve">          6002 - STAFF SALARIES</v>
      </c>
      <c r="C29" s="12"/>
      <c r="D29" s="8">
        <v>26240.76</v>
      </c>
      <c r="E29" s="3"/>
      <c r="F29" s="7">
        <f t="shared" si="8"/>
        <v>0</v>
      </c>
      <c r="G29" s="3"/>
      <c r="H29" s="8">
        <v>22976.46</v>
      </c>
      <c r="I29" s="3"/>
      <c r="J29" s="7">
        <f t="shared" si="9"/>
        <v>0</v>
      </c>
      <c r="K29" s="3"/>
      <c r="L29" s="8">
        <f t="shared" si="10"/>
        <v>3264.2999999999993</v>
      </c>
      <c r="M29" s="3"/>
      <c r="N29" s="7">
        <f t="shared" si="11"/>
        <v>0.14207149404216313</v>
      </c>
      <c r="O29" s="12"/>
      <c r="P29" s="8">
        <v>26240.76</v>
      </c>
      <c r="Q29" s="3"/>
      <c r="R29" s="7">
        <f t="shared" si="12"/>
        <v>0</v>
      </c>
      <c r="S29" s="3"/>
      <c r="T29" s="8">
        <v>22976.46</v>
      </c>
      <c r="U29" s="3"/>
      <c r="V29" s="7">
        <f t="shared" si="13"/>
        <v>0</v>
      </c>
      <c r="W29" s="3"/>
      <c r="X29" s="8">
        <f t="shared" si="14"/>
        <v>3264.2999999999993</v>
      </c>
      <c r="Y29" s="3"/>
      <c r="Z29" s="7">
        <f t="shared" si="15"/>
        <v>0.14207149404216313</v>
      </c>
    </row>
    <row r="30" spans="1:26" s="29" customFormat="1" outlineLevel="1" collapsed="1" x14ac:dyDescent="0.3">
      <c r="A30" s="28"/>
      <c r="B30" s="14" t="str">
        <f>CONCATENATE("     ","Depreciation                                      ")</f>
        <v xml:space="preserve">     Depreciation                                      </v>
      </c>
      <c r="C30" s="14"/>
      <c r="D30" s="1">
        <f>SUM(OSRRefD22_2x_0)</f>
        <v>1558.88</v>
      </c>
      <c r="E30" s="1"/>
      <c r="F30" s="5">
        <f t="shared" si="8"/>
        <v>0</v>
      </c>
      <c r="G30" s="1"/>
      <c r="H30" s="1">
        <f>SUM(OSRRefH22_2x_0)</f>
        <v>1558.88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1558.88</v>
      </c>
      <c r="Q30" s="1"/>
      <c r="R30" s="5">
        <f t="shared" si="12"/>
        <v>0</v>
      </c>
      <c r="S30" s="1"/>
      <c r="T30" s="1">
        <f>SUM(OSRRefT22_2x_0)</f>
        <v>1558.88</v>
      </c>
      <c r="U30" s="1"/>
      <c r="V30" s="5">
        <f t="shared" si="13"/>
        <v>0</v>
      </c>
      <c r="W30" s="1"/>
      <c r="X30" s="1">
        <f t="shared" si="14"/>
        <v>0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2" t="str">
        <f>CONCATENATE("          ", "6322", " - ", "EQUIPMENT DEPRECIATION EXPENSE")</f>
        <v xml:space="preserve">          6322 - EQUIPMENT DEPRECIATION EXPENSE</v>
      </c>
      <c r="C31" s="12"/>
      <c r="D31" s="8">
        <v>1558.88</v>
      </c>
      <c r="E31" s="3"/>
      <c r="F31" s="7">
        <f t="shared" si="8"/>
        <v>0</v>
      </c>
      <c r="G31" s="3"/>
      <c r="H31" s="8">
        <v>1558.88</v>
      </c>
      <c r="I31" s="3"/>
      <c r="J31" s="7">
        <f t="shared" si="9"/>
        <v>0</v>
      </c>
      <c r="K31" s="3"/>
      <c r="L31" s="8">
        <f t="shared" si="10"/>
        <v>0</v>
      </c>
      <c r="M31" s="3"/>
      <c r="N31" s="7">
        <f t="shared" si="11"/>
        <v>0</v>
      </c>
      <c r="O31" s="12"/>
      <c r="P31" s="8">
        <v>1558.88</v>
      </c>
      <c r="Q31" s="3"/>
      <c r="R31" s="7">
        <f t="shared" si="12"/>
        <v>0</v>
      </c>
      <c r="S31" s="3"/>
      <c r="T31" s="8">
        <v>1558.88</v>
      </c>
      <c r="U31" s="3"/>
      <c r="V31" s="7">
        <f t="shared" si="13"/>
        <v>0</v>
      </c>
      <c r="W31" s="3"/>
      <c r="X31" s="8">
        <f t="shared" si="14"/>
        <v>0</v>
      </c>
      <c r="Y31" s="3"/>
      <c r="Z31" s="7">
        <f t="shared" si="15"/>
        <v>0</v>
      </c>
    </row>
    <row r="32" spans="1:26" s="29" customFormat="1" outlineLevel="1" collapsed="1" x14ac:dyDescent="0.3">
      <c r="A32" s="28"/>
      <c r="B32" s="14" t="str">
        <f>CONCATENATE("     ","Equipment Rental                                  ")</f>
        <v xml:space="preserve">     Equipment Rental                                  </v>
      </c>
      <c r="C32" s="14"/>
      <c r="D32" s="1">
        <f>SUM(OSRRefD22_3x_0)</f>
        <v>91.26</v>
      </c>
      <c r="E32" s="1"/>
      <c r="F32" s="5">
        <f t="shared" si="8"/>
        <v>0</v>
      </c>
      <c r="G32" s="1"/>
      <c r="H32" s="1">
        <f>SUM(OSRRefH22_3x_0)</f>
        <v>91.26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91.26</v>
      </c>
      <c r="Q32" s="1"/>
      <c r="R32" s="5">
        <f t="shared" si="12"/>
        <v>0</v>
      </c>
      <c r="S32" s="1"/>
      <c r="T32" s="1">
        <f>SUM(OSRRefT22_3x_0)</f>
        <v>91.26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3">
      <c r="A33" s="27"/>
      <c r="B33" s="12" t="str">
        <f>CONCATENATE("          ", "6351", " - ", "EQUIPMENT RENTAL")</f>
        <v xml:space="preserve">          6351 - EQUIPMENT RENTAL</v>
      </c>
      <c r="C33" s="12"/>
      <c r="D33" s="8">
        <v>91.26</v>
      </c>
      <c r="E33" s="3"/>
      <c r="F33" s="7">
        <f t="shared" si="8"/>
        <v>0</v>
      </c>
      <c r="G33" s="3"/>
      <c r="H33" s="8">
        <v>91.26</v>
      </c>
      <c r="I33" s="3"/>
      <c r="J33" s="7">
        <f t="shared" si="9"/>
        <v>0</v>
      </c>
      <c r="K33" s="3"/>
      <c r="L33" s="8">
        <f t="shared" si="10"/>
        <v>0</v>
      </c>
      <c r="M33" s="3"/>
      <c r="N33" s="7">
        <f t="shared" si="11"/>
        <v>0</v>
      </c>
      <c r="O33" s="12"/>
      <c r="P33" s="8">
        <v>91.26</v>
      </c>
      <c r="Q33" s="3"/>
      <c r="R33" s="7">
        <f t="shared" si="12"/>
        <v>0</v>
      </c>
      <c r="S33" s="3"/>
      <c r="T33" s="8">
        <v>91.26</v>
      </c>
      <c r="U33" s="3"/>
      <c r="V33" s="7">
        <f t="shared" si="13"/>
        <v>0</v>
      </c>
      <c r="W33" s="3"/>
      <c r="X33" s="8">
        <f t="shared" si="14"/>
        <v>0</v>
      </c>
      <c r="Y33" s="3"/>
      <c r="Z33" s="7">
        <f t="shared" si="15"/>
        <v>0</v>
      </c>
    </row>
    <row r="34" spans="1:26" s="29" customFormat="1" outlineLevel="1" collapsed="1" x14ac:dyDescent="0.3">
      <c r="A34" s="28"/>
      <c r="B34" s="14" t="str">
        <f>CONCATENATE("     ","Freight out/Postage                               ")</f>
        <v xml:space="preserve">     Freight out/Postage                               </v>
      </c>
      <c r="C34" s="14"/>
      <c r="D34" s="1">
        <f>SUM(OSRRefD22_4x_0)</f>
        <v>88.12</v>
      </c>
      <c r="E34" s="1"/>
      <c r="F34" s="5">
        <f t="shared" si="8"/>
        <v>0</v>
      </c>
      <c r="G34" s="1"/>
      <c r="H34" s="1">
        <f>SUM(OSRRefH22_4x_0)</f>
        <v>80.5</v>
      </c>
      <c r="I34" s="1"/>
      <c r="J34" s="5">
        <f t="shared" si="9"/>
        <v>0</v>
      </c>
      <c r="K34" s="1"/>
      <c r="L34" s="1">
        <f t="shared" si="10"/>
        <v>7.6200000000000045</v>
      </c>
      <c r="M34" s="1"/>
      <c r="N34" s="5">
        <f t="shared" si="11"/>
        <v>9.4658385093167763E-2</v>
      </c>
      <c r="O34" s="14"/>
      <c r="P34" s="1">
        <f>SUM(OSRRefP22_4x_0)</f>
        <v>88.12</v>
      </c>
      <c r="Q34" s="1"/>
      <c r="R34" s="5">
        <f t="shared" si="12"/>
        <v>0</v>
      </c>
      <c r="S34" s="1"/>
      <c r="T34" s="1">
        <f>SUM(OSRRefT22_4x_0)</f>
        <v>80.5</v>
      </c>
      <c r="U34" s="1"/>
      <c r="V34" s="5">
        <f t="shared" si="13"/>
        <v>0</v>
      </c>
      <c r="W34" s="1"/>
      <c r="X34" s="1">
        <f t="shared" si="14"/>
        <v>7.6200000000000045</v>
      </c>
      <c r="Y34" s="1"/>
      <c r="Z34" s="5">
        <f t="shared" si="15"/>
        <v>9.4658385093167763E-2</v>
      </c>
    </row>
    <row r="35" spans="1:26" s="24" customFormat="1" hidden="1" outlineLevel="2" x14ac:dyDescent="0.3">
      <c r="A35" s="27"/>
      <c r="B35" s="12" t="str">
        <f>CONCATENATE("          ", "6307", " - ", "POSTAGE")</f>
        <v xml:space="preserve">          6307 - POSTAGE</v>
      </c>
      <c r="C35" s="12"/>
      <c r="D35" s="8">
        <v>88.12</v>
      </c>
      <c r="E35" s="3"/>
      <c r="F35" s="7">
        <f t="shared" si="8"/>
        <v>0</v>
      </c>
      <c r="G35" s="3"/>
      <c r="H35" s="8">
        <v>80.5</v>
      </c>
      <c r="I35" s="3"/>
      <c r="J35" s="7">
        <f t="shared" si="9"/>
        <v>0</v>
      </c>
      <c r="K35" s="3"/>
      <c r="L35" s="8">
        <f t="shared" si="10"/>
        <v>7.6200000000000045</v>
      </c>
      <c r="M35" s="3"/>
      <c r="N35" s="7">
        <f t="shared" si="11"/>
        <v>9.4658385093167763E-2</v>
      </c>
      <c r="O35" s="12"/>
      <c r="P35" s="8">
        <v>88.12</v>
      </c>
      <c r="Q35" s="3"/>
      <c r="R35" s="7">
        <f t="shared" si="12"/>
        <v>0</v>
      </c>
      <c r="S35" s="3"/>
      <c r="T35" s="8">
        <v>80.5</v>
      </c>
      <c r="U35" s="3"/>
      <c r="V35" s="7">
        <f t="shared" si="13"/>
        <v>0</v>
      </c>
      <c r="W35" s="3"/>
      <c r="X35" s="8">
        <f t="shared" si="14"/>
        <v>7.6200000000000045</v>
      </c>
      <c r="Y35" s="3"/>
      <c r="Z35" s="7">
        <f t="shared" si="15"/>
        <v>9.4658385093167763E-2</v>
      </c>
    </row>
    <row r="36" spans="1:26" s="29" customFormat="1" outlineLevel="1" collapsed="1" x14ac:dyDescent="0.3">
      <c r="A36" s="28"/>
      <c r="B36" s="14" t="str">
        <f>CONCATENATE("     ","Insurance                                         ")</f>
        <v xml:space="preserve">     Insurance                                         </v>
      </c>
      <c r="C36" s="14"/>
      <c r="D36" s="1">
        <f>SUM(OSRRefD22_5x_0)</f>
        <v>179.64</v>
      </c>
      <c r="E36" s="1"/>
      <c r="F36" s="5">
        <f t="shared" si="8"/>
        <v>0</v>
      </c>
      <c r="G36" s="1"/>
      <c r="H36" s="1">
        <f>SUM(OSRRefH22_5x_0)</f>
        <v>132.16999999999999</v>
      </c>
      <c r="I36" s="1"/>
      <c r="J36" s="5">
        <f t="shared" si="9"/>
        <v>0</v>
      </c>
      <c r="K36" s="1"/>
      <c r="L36" s="1">
        <f t="shared" si="10"/>
        <v>47.47</v>
      </c>
      <c r="M36" s="1"/>
      <c r="N36" s="5">
        <f t="shared" si="11"/>
        <v>0.35915865930241359</v>
      </c>
      <c r="O36" s="14"/>
      <c r="P36" s="1">
        <f>SUM(OSRRefP22_5x_0)</f>
        <v>179.64</v>
      </c>
      <c r="Q36" s="1"/>
      <c r="R36" s="5">
        <f t="shared" si="12"/>
        <v>0</v>
      </c>
      <c r="S36" s="1"/>
      <c r="T36" s="1">
        <f>SUM(OSRRefT22_5x_0)</f>
        <v>132.16999999999999</v>
      </c>
      <c r="U36" s="1"/>
      <c r="V36" s="5">
        <f t="shared" si="13"/>
        <v>0</v>
      </c>
      <c r="W36" s="1"/>
      <c r="X36" s="1">
        <f t="shared" si="14"/>
        <v>47.47</v>
      </c>
      <c r="Y36" s="1"/>
      <c r="Z36" s="5">
        <f t="shared" si="15"/>
        <v>0.35915865930241359</v>
      </c>
    </row>
    <row r="37" spans="1:26" s="24" customFormat="1" hidden="1" outlineLevel="2" x14ac:dyDescent="0.3">
      <c r="A37" s="27"/>
      <c r="B37" s="12" t="str">
        <f>CONCATENATE("          ", "6314", " - ", "LIABILITY INSURANCE")</f>
        <v xml:space="preserve">          6314 - LIABILITY INSURANCE</v>
      </c>
      <c r="C37" s="12"/>
      <c r="D37" s="8">
        <v>179.64</v>
      </c>
      <c r="E37" s="3"/>
      <c r="F37" s="7">
        <f t="shared" si="8"/>
        <v>0</v>
      </c>
      <c r="G37" s="3"/>
      <c r="H37" s="8">
        <v>132.16999999999999</v>
      </c>
      <c r="I37" s="3"/>
      <c r="J37" s="7">
        <f t="shared" si="9"/>
        <v>0</v>
      </c>
      <c r="K37" s="3"/>
      <c r="L37" s="8">
        <f t="shared" si="10"/>
        <v>47.47</v>
      </c>
      <c r="M37" s="3"/>
      <c r="N37" s="7">
        <f t="shared" si="11"/>
        <v>0.35915865930241359</v>
      </c>
      <c r="O37" s="12"/>
      <c r="P37" s="8">
        <v>179.64</v>
      </c>
      <c r="Q37" s="3"/>
      <c r="R37" s="7">
        <f t="shared" si="12"/>
        <v>0</v>
      </c>
      <c r="S37" s="3"/>
      <c r="T37" s="8">
        <v>132.16999999999999</v>
      </c>
      <c r="U37" s="3"/>
      <c r="V37" s="7">
        <f t="shared" si="13"/>
        <v>0</v>
      </c>
      <c r="W37" s="3"/>
      <c r="X37" s="8">
        <f t="shared" si="14"/>
        <v>47.47</v>
      </c>
      <c r="Y37" s="3"/>
      <c r="Z37" s="7">
        <f t="shared" si="15"/>
        <v>0.35915865930241359</v>
      </c>
    </row>
    <row r="38" spans="1:26" s="29" customFormat="1" outlineLevel="1" collapsed="1" x14ac:dyDescent="0.3">
      <c r="A38" s="28"/>
      <c r="B38" s="14" t="str">
        <f>CONCATENATE("     ","Repair and Maintenance                            ")</f>
        <v xml:space="preserve">     Repair and Maintenance                            </v>
      </c>
      <c r="C38" s="14"/>
      <c r="D38" s="1">
        <f>SUM(OSRRefD22_6x_0)</f>
        <v>59.95</v>
      </c>
      <c r="E38" s="1"/>
      <c r="F38" s="5">
        <f t="shared" si="8"/>
        <v>0</v>
      </c>
      <c r="G38" s="1"/>
      <c r="H38" s="1">
        <f>SUM(OSRRefH22_6x_0)</f>
        <v>69.84</v>
      </c>
      <c r="I38" s="1"/>
      <c r="J38" s="5">
        <f t="shared" si="9"/>
        <v>0</v>
      </c>
      <c r="K38" s="1"/>
      <c r="L38" s="1">
        <f t="shared" si="10"/>
        <v>-9.89</v>
      </c>
      <c r="M38" s="1"/>
      <c r="N38" s="5">
        <f t="shared" si="11"/>
        <v>-0.14160939289805269</v>
      </c>
      <c r="O38" s="14"/>
      <c r="P38" s="1">
        <f>SUM(OSRRefP22_6x_0)</f>
        <v>59.95</v>
      </c>
      <c r="Q38" s="1"/>
      <c r="R38" s="5">
        <f t="shared" si="12"/>
        <v>0</v>
      </c>
      <c r="S38" s="1"/>
      <c r="T38" s="1">
        <f>SUM(OSRRefT22_6x_0)</f>
        <v>69.84</v>
      </c>
      <c r="U38" s="1"/>
      <c r="V38" s="5">
        <f t="shared" si="13"/>
        <v>0</v>
      </c>
      <c r="W38" s="1"/>
      <c r="X38" s="1">
        <f t="shared" si="14"/>
        <v>-9.89</v>
      </c>
      <c r="Y38" s="1"/>
      <c r="Z38" s="5">
        <f t="shared" si="15"/>
        <v>-0.14160939289805269</v>
      </c>
    </row>
    <row r="39" spans="1:26" s="24" customFormat="1" hidden="1" outlineLevel="2" x14ac:dyDescent="0.3">
      <c r="A39" s="27"/>
      <c r="B39" s="12" t="str">
        <f>CONCATENATE("          ", "6371", " - ", "COMPUTER SOFTWARE MAINTENANCE")</f>
        <v xml:space="preserve">          6371 - COMPUTER SOFTWARE MAINTENANCE</v>
      </c>
      <c r="C39" s="12"/>
      <c r="D39" s="8">
        <v>59.95</v>
      </c>
      <c r="E39" s="3"/>
      <c r="F39" s="7">
        <f t="shared" si="8"/>
        <v>0</v>
      </c>
      <c r="G39" s="3"/>
      <c r="H39" s="8">
        <v>59.95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2"/>
      <c r="P39" s="8">
        <v>59.95</v>
      </c>
      <c r="Q39" s="3"/>
      <c r="R39" s="7">
        <f t="shared" si="12"/>
        <v>0</v>
      </c>
      <c r="S39" s="3"/>
      <c r="T39" s="8">
        <v>59.95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24" customFormat="1" hidden="1" outlineLevel="2" x14ac:dyDescent="0.3">
      <c r="A40" s="27"/>
      <c r="B40" s="12" t="str">
        <f>CONCATENATE("          ", "6373", " - ", "MAINTENANCE CONTRACTS")</f>
        <v xml:space="preserve">          6373 - MAINTENANCE CONTRACTS</v>
      </c>
      <c r="C40" s="12"/>
      <c r="D40" s="8"/>
      <c r="E40" s="3"/>
      <c r="F40" s="7">
        <f t="shared" si="8"/>
        <v>0</v>
      </c>
      <c r="G40" s="3"/>
      <c r="H40" s="8">
        <v>9.89</v>
      </c>
      <c r="I40" s="3"/>
      <c r="J40" s="7">
        <f t="shared" si="9"/>
        <v>0</v>
      </c>
      <c r="K40" s="3"/>
      <c r="L40" s="8">
        <f t="shared" si="10"/>
        <v>-9.89</v>
      </c>
      <c r="M40" s="3"/>
      <c r="N40" s="7">
        <f t="shared" si="11"/>
        <v>-1</v>
      </c>
      <c r="O40" s="12"/>
      <c r="P40" s="8"/>
      <c r="Q40" s="3"/>
      <c r="R40" s="7">
        <f t="shared" si="12"/>
        <v>0</v>
      </c>
      <c r="S40" s="3"/>
      <c r="T40" s="8">
        <v>9.89</v>
      </c>
      <c r="U40" s="3"/>
      <c r="V40" s="7">
        <f t="shared" si="13"/>
        <v>0</v>
      </c>
      <c r="W40" s="3"/>
      <c r="X40" s="8">
        <f t="shared" si="14"/>
        <v>-9.89</v>
      </c>
      <c r="Y40" s="3"/>
      <c r="Z40" s="7">
        <f t="shared" si="15"/>
        <v>-1</v>
      </c>
    </row>
    <row r="41" spans="1:26" s="29" customFormat="1" outlineLevel="1" collapsed="1" x14ac:dyDescent="0.3">
      <c r="A41" s="28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SUM(OSRRefD22_7x_0)</f>
        <v>0</v>
      </c>
      <c r="E41" s="1"/>
      <c r="F41" s="5">
        <f t="shared" ref="F41:F45" si="16">IF(D$12=0,0,D41/D$12)</f>
        <v>0</v>
      </c>
      <c r="G41" s="1"/>
      <c r="H41" s="1">
        <f>SUM(OSRRefH22_7x_0)</f>
        <v>512.48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-512.48</v>
      </c>
      <c r="M41" s="1"/>
      <c r="N41" s="5">
        <f t="shared" ref="N41:N45" si="19">IF(H41=0,0,L41/H41)</f>
        <v>-1</v>
      </c>
      <c r="O41" s="14"/>
      <c r="P41" s="1">
        <f>SUM(OSRRefP22_7x_0)</f>
        <v>0</v>
      </c>
      <c r="Q41" s="1"/>
      <c r="R41" s="5">
        <f t="shared" ref="R41:R45" si="20">IF(P$12=0,0,P41/P$12)</f>
        <v>0</v>
      </c>
      <c r="S41" s="1"/>
      <c r="T41" s="1">
        <f>SUM(OSRRefT22_7x_0)</f>
        <v>512.48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-512.48</v>
      </c>
      <c r="Y41" s="1"/>
      <c r="Z41" s="5">
        <f t="shared" ref="Z41:Z45" si="23">IF(T41=0,0,X41/T41)</f>
        <v>-1</v>
      </c>
    </row>
    <row r="42" spans="1:26" s="24" customFormat="1" hidden="1" outlineLevel="2" x14ac:dyDescent="0.3">
      <c r="A42" s="27"/>
      <c r="B42" s="12" t="str">
        <f>CONCATENATE("          ", "6281", " - ", "STORAGE FEE")</f>
        <v xml:space="preserve">          6281 - STORAGE FEE</v>
      </c>
      <c r="C42" s="12"/>
      <c r="D42" s="8"/>
      <c r="E42" s="3"/>
      <c r="F42" s="7">
        <f t="shared" si="16"/>
        <v>0</v>
      </c>
      <c r="G42" s="3"/>
      <c r="H42" s="8">
        <v>512.48</v>
      </c>
      <c r="I42" s="3"/>
      <c r="J42" s="7">
        <f t="shared" si="17"/>
        <v>0</v>
      </c>
      <c r="K42" s="3"/>
      <c r="L42" s="8">
        <f t="shared" si="18"/>
        <v>-512.48</v>
      </c>
      <c r="M42" s="3"/>
      <c r="N42" s="7">
        <f t="shared" si="19"/>
        <v>-1</v>
      </c>
      <c r="O42" s="12"/>
      <c r="P42" s="8"/>
      <c r="Q42" s="3"/>
      <c r="R42" s="7">
        <f t="shared" si="20"/>
        <v>0</v>
      </c>
      <c r="S42" s="3"/>
      <c r="T42" s="8">
        <v>512.48</v>
      </c>
      <c r="U42" s="3"/>
      <c r="V42" s="7">
        <f t="shared" si="21"/>
        <v>0</v>
      </c>
      <c r="W42" s="3"/>
      <c r="X42" s="8">
        <f t="shared" si="22"/>
        <v>-512.48</v>
      </c>
      <c r="Y42" s="3"/>
      <c r="Z42" s="7">
        <f t="shared" si="23"/>
        <v>-1</v>
      </c>
    </row>
    <row r="43" spans="1:26" s="29" customFormat="1" outlineLevel="1" collapsed="1" x14ac:dyDescent="0.3">
      <c r="A43" s="28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SUM(OSRRefD22_8x_0)</f>
        <v>272.22000000000003</v>
      </c>
      <c r="E43" s="1"/>
      <c r="F43" s="5">
        <f t="shared" si="16"/>
        <v>0</v>
      </c>
      <c r="G43" s="1"/>
      <c r="H43" s="1">
        <f>SUM(OSRRefH22_8x_0)</f>
        <v>461.94000000000005</v>
      </c>
      <c r="I43" s="1"/>
      <c r="J43" s="5">
        <f t="shared" si="17"/>
        <v>0</v>
      </c>
      <c r="K43" s="1"/>
      <c r="L43" s="1">
        <f t="shared" si="18"/>
        <v>-189.72000000000003</v>
      </c>
      <c r="M43" s="1"/>
      <c r="N43" s="5">
        <f t="shared" si="19"/>
        <v>-0.41070268866086507</v>
      </c>
      <c r="O43" s="14"/>
      <c r="P43" s="1">
        <f>SUM(OSRRefP22_8x_0)</f>
        <v>272.22000000000003</v>
      </c>
      <c r="Q43" s="1"/>
      <c r="R43" s="5">
        <f t="shared" si="20"/>
        <v>0</v>
      </c>
      <c r="S43" s="1"/>
      <c r="T43" s="1">
        <f>SUM(OSRRefT22_8x_0)</f>
        <v>461.94000000000005</v>
      </c>
      <c r="U43" s="1"/>
      <c r="V43" s="5">
        <f t="shared" si="21"/>
        <v>0</v>
      </c>
      <c r="W43" s="1"/>
      <c r="X43" s="1">
        <f t="shared" si="22"/>
        <v>-189.72000000000003</v>
      </c>
      <c r="Y43" s="1"/>
      <c r="Z43" s="5">
        <f t="shared" si="23"/>
        <v>-0.41070268866086507</v>
      </c>
    </row>
    <row r="44" spans="1:26" s="24" customFormat="1" hidden="1" outlineLevel="2" x14ac:dyDescent="0.3">
      <c r="A44" s="27"/>
      <c r="B44" s="12" t="str">
        <f>CONCATENATE("          ", "6235", " - ", "COVID-19 EXPENSES")</f>
        <v xml:space="preserve">          6235 - COVID-19 EXPENSES</v>
      </c>
      <c r="C44" s="12"/>
      <c r="D44" s="8"/>
      <c r="E44" s="3"/>
      <c r="F44" s="7">
        <f t="shared" si="16"/>
        <v>0</v>
      </c>
      <c r="G44" s="3"/>
      <c r="H44" s="8">
        <v>426.66</v>
      </c>
      <c r="I44" s="3"/>
      <c r="J44" s="7">
        <f t="shared" si="17"/>
        <v>0</v>
      </c>
      <c r="K44" s="3"/>
      <c r="L44" s="8">
        <f t="shared" si="18"/>
        <v>-426.66</v>
      </c>
      <c r="M44" s="3"/>
      <c r="N44" s="7">
        <f t="shared" si="19"/>
        <v>-1</v>
      </c>
      <c r="O44" s="12"/>
      <c r="P44" s="8"/>
      <c r="Q44" s="3"/>
      <c r="R44" s="7">
        <f t="shared" si="20"/>
        <v>0</v>
      </c>
      <c r="S44" s="3"/>
      <c r="T44" s="8">
        <v>426.66</v>
      </c>
      <c r="U44" s="3"/>
      <c r="V44" s="7">
        <f t="shared" si="21"/>
        <v>0</v>
      </c>
      <c r="W44" s="3"/>
      <c r="X44" s="8">
        <f t="shared" si="22"/>
        <v>-426.66</v>
      </c>
      <c r="Y44" s="3"/>
      <c r="Z44" s="7">
        <f t="shared" si="23"/>
        <v>-1</v>
      </c>
    </row>
    <row r="45" spans="1:26" s="24" customFormat="1" hidden="1" outlineLevel="2" x14ac:dyDescent="0.3">
      <c r="A45" s="27"/>
      <c r="B45" s="12" t="str">
        <f>CONCATENATE("          ", "6241", " - ", "OFFICE EXPENSE")</f>
        <v xml:space="preserve">          6241 - OFFICE EXPENSE</v>
      </c>
      <c r="C45" s="12"/>
      <c r="D45" s="8">
        <v>272.22000000000003</v>
      </c>
      <c r="E45" s="3"/>
      <c r="F45" s="7">
        <f t="shared" si="16"/>
        <v>0</v>
      </c>
      <c r="G45" s="3"/>
      <c r="H45" s="8">
        <v>35.28</v>
      </c>
      <c r="I45" s="3"/>
      <c r="J45" s="7">
        <f t="shared" si="17"/>
        <v>0</v>
      </c>
      <c r="K45" s="3"/>
      <c r="L45" s="8">
        <f t="shared" si="18"/>
        <v>236.94000000000003</v>
      </c>
      <c r="M45" s="3"/>
      <c r="N45" s="7">
        <f t="shared" si="19"/>
        <v>6.7159863945578238</v>
      </c>
      <c r="O45" s="12"/>
      <c r="P45" s="8">
        <v>272.22000000000003</v>
      </c>
      <c r="Q45" s="3"/>
      <c r="R45" s="7">
        <f t="shared" si="20"/>
        <v>0</v>
      </c>
      <c r="S45" s="3"/>
      <c r="T45" s="8">
        <v>35.28</v>
      </c>
      <c r="U45" s="3"/>
      <c r="V45" s="7">
        <f t="shared" si="21"/>
        <v>0</v>
      </c>
      <c r="W45" s="3"/>
      <c r="X45" s="8">
        <f t="shared" si="22"/>
        <v>236.94000000000003</v>
      </c>
      <c r="Y45" s="3"/>
      <c r="Z45" s="7">
        <f t="shared" si="23"/>
        <v>6.7159863945578238</v>
      </c>
    </row>
    <row r="46" spans="1:26" s="29" customFormat="1" outlineLevel="1" collapsed="1" x14ac:dyDescent="0.3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SUM(OSRRefD22_9x_0)</f>
        <v>448.1</v>
      </c>
      <c r="E46" s="1"/>
      <c r="F46" s="5">
        <f t="shared" ref="F46:F49" si="24">IF(D$12=0,0,D46/D$12)</f>
        <v>0</v>
      </c>
      <c r="G46" s="1"/>
      <c r="H46" s="1">
        <f>SUM(OSRRefH22_9x_0)</f>
        <v>421.3</v>
      </c>
      <c r="I46" s="1"/>
      <c r="J46" s="5">
        <f t="shared" ref="J46:J49" si="25">IF(H$12=0,0,H46/H$12)</f>
        <v>0</v>
      </c>
      <c r="K46" s="1"/>
      <c r="L46" s="1">
        <f t="shared" ref="L46:L49" si="26">+D46-H46</f>
        <v>26.800000000000011</v>
      </c>
      <c r="M46" s="1"/>
      <c r="N46" s="5">
        <f t="shared" ref="N46:N49" si="27">IF(H46=0,0,L46/H46)</f>
        <v>6.3612627581296016E-2</v>
      </c>
      <c r="O46" s="14"/>
      <c r="P46" s="1">
        <f>SUM(OSRRefP22_9x_0)</f>
        <v>448.1</v>
      </c>
      <c r="Q46" s="1"/>
      <c r="R46" s="5">
        <f t="shared" ref="R46:R49" si="28">IF(P$12=0,0,P46/P$12)</f>
        <v>0</v>
      </c>
      <c r="S46" s="1"/>
      <c r="T46" s="1">
        <f>SUM(OSRRefT22_9x_0)</f>
        <v>421.3</v>
      </c>
      <c r="U46" s="1"/>
      <c r="V46" s="5">
        <f t="shared" ref="V46:V49" si="29">IF(T$12=0,0,T46/T$12)</f>
        <v>0</v>
      </c>
      <c r="W46" s="1"/>
      <c r="X46" s="1">
        <f t="shared" ref="X46:X49" si="30">+P46-T46</f>
        <v>26.800000000000011</v>
      </c>
      <c r="Y46" s="1"/>
      <c r="Z46" s="5">
        <f t="shared" ref="Z46:Z49" si="31">IF(T46=0,0,X46/T46)</f>
        <v>6.3612627581296016E-2</v>
      </c>
    </row>
    <row r="47" spans="1:26" s="24" customFormat="1" hidden="1" outlineLevel="2" x14ac:dyDescent="0.3">
      <c r="A47" s="27"/>
      <c r="B47" s="12" t="str">
        <f>CONCATENATE("          ", "6309", " - ", "TELEPHONE")</f>
        <v xml:space="preserve">          6309 - TELEPHONE</v>
      </c>
      <c r="C47" s="12"/>
      <c r="D47" s="8">
        <v>448.1</v>
      </c>
      <c r="E47" s="3"/>
      <c r="F47" s="7">
        <f t="shared" si="24"/>
        <v>0</v>
      </c>
      <c r="G47" s="3"/>
      <c r="H47" s="8">
        <v>421.3</v>
      </c>
      <c r="I47" s="3"/>
      <c r="J47" s="7">
        <f t="shared" si="25"/>
        <v>0</v>
      </c>
      <c r="K47" s="3"/>
      <c r="L47" s="8">
        <f t="shared" si="26"/>
        <v>26.800000000000011</v>
      </c>
      <c r="M47" s="3"/>
      <c r="N47" s="7">
        <f t="shared" si="27"/>
        <v>6.3612627581296016E-2</v>
      </c>
      <c r="O47" s="12"/>
      <c r="P47" s="8">
        <v>448.1</v>
      </c>
      <c r="Q47" s="3"/>
      <c r="R47" s="7">
        <f t="shared" si="28"/>
        <v>0</v>
      </c>
      <c r="S47" s="3"/>
      <c r="T47" s="8">
        <v>421.3</v>
      </c>
      <c r="U47" s="3"/>
      <c r="V47" s="7">
        <f t="shared" si="29"/>
        <v>0</v>
      </c>
      <c r="W47" s="3"/>
      <c r="X47" s="8">
        <f t="shared" si="30"/>
        <v>26.800000000000011</v>
      </c>
      <c r="Y47" s="3"/>
      <c r="Z47" s="7">
        <f t="shared" si="31"/>
        <v>6.3612627581296016E-2</v>
      </c>
    </row>
    <row r="48" spans="1:26" s="29" customFormat="1" outlineLevel="1" collapsed="1" x14ac:dyDescent="0.3">
      <c r="A48" s="28"/>
      <c r="B48" s="14" t="str">
        <f>CONCATENATE("     ","Travel                                            ")</f>
        <v xml:space="preserve">     Travel                                            </v>
      </c>
      <c r="C48" s="14"/>
      <c r="D48" s="1">
        <f>SUM(OSRRefD22_10x_0)</f>
        <v>17.100000000000001</v>
      </c>
      <c r="E48" s="1"/>
      <c r="F48" s="5">
        <f t="shared" si="24"/>
        <v>0</v>
      </c>
      <c r="G48" s="1"/>
      <c r="H48" s="1">
        <f>SUM(OSRRefH22_10x_0)</f>
        <v>9.75</v>
      </c>
      <c r="I48" s="1"/>
      <c r="J48" s="5">
        <f t="shared" si="25"/>
        <v>0</v>
      </c>
      <c r="K48" s="1"/>
      <c r="L48" s="1">
        <f t="shared" si="26"/>
        <v>7.3500000000000014</v>
      </c>
      <c r="M48" s="1"/>
      <c r="N48" s="5">
        <f t="shared" si="27"/>
        <v>0.75384615384615394</v>
      </c>
      <c r="O48" s="14"/>
      <c r="P48" s="1">
        <f>SUM(OSRRefP22_10x_0)</f>
        <v>17.100000000000001</v>
      </c>
      <c r="Q48" s="1"/>
      <c r="R48" s="5">
        <f t="shared" si="28"/>
        <v>0</v>
      </c>
      <c r="S48" s="1"/>
      <c r="T48" s="1">
        <f>SUM(OSRRefT22_10x_0)</f>
        <v>9.75</v>
      </c>
      <c r="U48" s="1"/>
      <c r="V48" s="5">
        <f t="shared" si="29"/>
        <v>0</v>
      </c>
      <c r="W48" s="1"/>
      <c r="X48" s="1">
        <f t="shared" si="30"/>
        <v>7.3500000000000014</v>
      </c>
      <c r="Y48" s="1"/>
      <c r="Z48" s="5">
        <f t="shared" si="31"/>
        <v>0.75384615384615394</v>
      </c>
    </row>
    <row r="49" spans="1:26" s="24" customFormat="1" hidden="1" outlineLevel="2" x14ac:dyDescent="0.3">
      <c r="A49" s="27"/>
      <c r="B49" s="12" t="str">
        <f>CONCATENATE("          ", "6294", " - ", "TRAVEL OPERATIONAL")</f>
        <v xml:space="preserve">          6294 - TRAVEL OPERATIONAL</v>
      </c>
      <c r="C49" s="12"/>
      <c r="D49" s="8">
        <v>17.100000000000001</v>
      </c>
      <c r="E49" s="3"/>
      <c r="F49" s="7">
        <f t="shared" si="24"/>
        <v>0</v>
      </c>
      <c r="G49" s="3"/>
      <c r="H49" s="8">
        <v>9.75</v>
      </c>
      <c r="I49" s="3"/>
      <c r="J49" s="7">
        <f t="shared" si="25"/>
        <v>0</v>
      </c>
      <c r="K49" s="3"/>
      <c r="L49" s="8">
        <f t="shared" si="26"/>
        <v>7.3500000000000014</v>
      </c>
      <c r="M49" s="3"/>
      <c r="N49" s="7">
        <f t="shared" si="27"/>
        <v>0.75384615384615394</v>
      </c>
      <c r="O49" s="12"/>
      <c r="P49" s="8">
        <v>17.100000000000001</v>
      </c>
      <c r="Q49" s="3"/>
      <c r="R49" s="7">
        <f t="shared" si="28"/>
        <v>0</v>
      </c>
      <c r="S49" s="3"/>
      <c r="T49" s="8">
        <v>9.75</v>
      </c>
      <c r="U49" s="3"/>
      <c r="V49" s="7">
        <f t="shared" si="29"/>
        <v>0</v>
      </c>
      <c r="W49" s="3"/>
      <c r="X49" s="8">
        <f t="shared" si="30"/>
        <v>7.3500000000000014</v>
      </c>
      <c r="Y49" s="3"/>
      <c r="Z49" s="7">
        <f t="shared" si="31"/>
        <v>0.75384615384615394</v>
      </c>
    </row>
    <row r="50" spans="1:26" s="53" customFormat="1" x14ac:dyDescent="0.3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5" t="s">
        <v>292</v>
      </c>
      <c r="C51" s="10"/>
      <c r="D51" s="4">
        <f>SUM(0)</f>
        <v>0</v>
      </c>
      <c r="E51" s="4"/>
      <c r="F51" s="11">
        <f>IF(D$12=0,0,D51/D$12)</f>
        <v>0</v>
      </c>
      <c r="G51" s="4"/>
      <c r="H51" s="4">
        <f>SUM(0)</f>
        <v>0</v>
      </c>
      <c r="I51" s="4"/>
      <c r="J51" s="11">
        <f>IF(H$12=0,0,H51/H$12)</f>
        <v>0</v>
      </c>
      <c r="K51" s="4"/>
      <c r="L51" s="4">
        <f>+D51-H51</f>
        <v>0</v>
      </c>
      <c r="M51" s="4"/>
      <c r="N51" s="11">
        <f>IF(H51=0,0,L51/H51)</f>
        <v>0</v>
      </c>
      <c r="O51" s="10"/>
      <c r="P51" s="4">
        <f>SUM(0)</f>
        <v>0</v>
      </c>
      <c r="Q51" s="4"/>
      <c r="R51" s="11">
        <f>IF(P$12=0,0,P51/P$12)</f>
        <v>0</v>
      </c>
      <c r="S51" s="4"/>
      <c r="T51" s="4">
        <f>SUM(0)</f>
        <v>0</v>
      </c>
      <c r="U51" s="4"/>
      <c r="V51" s="11">
        <f>IF(T$12=0,0,T51/T$12)</f>
        <v>0</v>
      </c>
      <c r="W51" s="4"/>
      <c r="X51" s="4">
        <f>+P51-T51</f>
        <v>0</v>
      </c>
      <c r="Y51" s="4"/>
      <c r="Z51" s="11">
        <f>IF(T51=0,0,X51/T51)</f>
        <v>0</v>
      </c>
    </row>
    <row r="52" spans="1:26" x14ac:dyDescent="0.3">
      <c r="A52" s="9"/>
      <c r="B52" s="10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10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3">
      <c r="A53" s="10"/>
      <c r="B53" s="26" t="s">
        <v>276</v>
      </c>
      <c r="C53" s="26"/>
      <c r="D53" s="20">
        <f>+D16-D18+D51</f>
        <v>-41601.359999999993</v>
      </c>
      <c r="E53" s="13"/>
      <c r="F53" s="21">
        <f>IF(D$12=0,0,D53/D$12)</f>
        <v>0</v>
      </c>
      <c r="G53" s="13"/>
      <c r="H53" s="20">
        <f>+H16-H18+H51</f>
        <v>-39398.04</v>
      </c>
      <c r="I53" s="13"/>
      <c r="J53" s="21">
        <f>IF(H$12=0,0,H53/H$12)</f>
        <v>0</v>
      </c>
      <c r="K53" s="16"/>
      <c r="L53" s="20">
        <f>+D53-H53</f>
        <v>-2203.3199999999924</v>
      </c>
      <c r="M53" s="16"/>
      <c r="N53" s="21">
        <f>IF(H53=0,0,L53/H53)</f>
        <v>5.5924609447576386E-2</v>
      </c>
      <c r="O53" s="25"/>
      <c r="P53" s="20">
        <f>+P16-P18+P51</f>
        <v>-41601.359999999993</v>
      </c>
      <c r="Q53" s="13"/>
      <c r="R53" s="21">
        <f>IF(P$12=0,0,P53/P$12)</f>
        <v>0</v>
      </c>
      <c r="S53" s="13"/>
      <c r="T53" s="20">
        <f>+T16-T18+T51</f>
        <v>-39398.04</v>
      </c>
      <c r="U53" s="13"/>
      <c r="V53" s="21">
        <f>IF(T$12=0,0,T53/T$12)</f>
        <v>0</v>
      </c>
      <c r="W53" s="16"/>
      <c r="X53" s="20">
        <f>+P53-T53</f>
        <v>-2203.3199999999924</v>
      </c>
      <c r="Y53" s="16"/>
      <c r="Z53" s="21">
        <f>IF(T53=0,0,X53/T53)</f>
        <v>5.5924609447576386E-2</v>
      </c>
    </row>
    <row r="54" spans="1:26" x14ac:dyDescent="0.3">
      <c r="A54" s="9"/>
      <c r="B54" s="10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x14ac:dyDescent="0.3">
      <c r="A55" s="51"/>
      <c r="B55" s="10" t="s">
        <v>127</v>
      </c>
      <c r="C55" s="10"/>
      <c r="D55" s="4"/>
      <c r="E55" s="4"/>
      <c r="F55" s="11">
        <f>IF(D$12=0,0,D55/D$12)</f>
        <v>0</v>
      </c>
      <c r="G55" s="4"/>
      <c r="H55" s="4"/>
      <c r="I55" s="4"/>
      <c r="J55" s="11">
        <f>IF(H$12=0,0,H55/H$12)</f>
        <v>0</v>
      </c>
      <c r="K55" s="4"/>
      <c r="L55" s="4">
        <f>+D55-H55</f>
        <v>0</v>
      </c>
      <c r="M55" s="4"/>
      <c r="N55" s="11">
        <f>IF(H55=0,0,L55/H55)</f>
        <v>0</v>
      </c>
      <c r="O55" s="10"/>
      <c r="P55" s="4"/>
      <c r="Q55" s="4"/>
      <c r="R55" s="11">
        <f>IF(P$12=0,0,P55/P$12)</f>
        <v>0</v>
      </c>
      <c r="S55" s="4"/>
      <c r="T55" s="4"/>
      <c r="U55" s="4"/>
      <c r="V55" s="11">
        <f>IF(T$12=0,0,T55/T$12)</f>
        <v>0</v>
      </c>
      <c r="W55" s="4"/>
      <c r="X55" s="4">
        <f>+P55-T55</f>
        <v>0</v>
      </c>
      <c r="Y55" s="4"/>
      <c r="Z55" s="11">
        <f>IF(T55=0,0,X55/T55)</f>
        <v>0</v>
      </c>
    </row>
    <row r="56" spans="1:26" x14ac:dyDescent="0.3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" thickBot="1" x14ac:dyDescent="0.35">
      <c r="A57" s="10"/>
      <c r="B57" s="26" t="s">
        <v>125</v>
      </c>
      <c r="C57" s="26"/>
      <c r="D57" s="36">
        <f>+D53-D55</f>
        <v>-41601.359999999993</v>
      </c>
      <c r="E57" s="13"/>
      <c r="F57" s="34">
        <f>IF(D$12=0,0,D57/D$12)</f>
        <v>0</v>
      </c>
      <c r="G57" s="13"/>
      <c r="H57" s="36">
        <f>+H53-H55</f>
        <v>-39398.04</v>
      </c>
      <c r="I57" s="13"/>
      <c r="J57" s="34">
        <f>IF(H$12=0,0,H57/H$12)</f>
        <v>0</v>
      </c>
      <c r="K57" s="16"/>
      <c r="L57" s="36">
        <f>D57-H57</f>
        <v>-2203.3199999999924</v>
      </c>
      <c r="M57" s="16"/>
      <c r="N57" s="34">
        <f>IF(H57=0,0,L57/H57)</f>
        <v>5.5924609447576386E-2</v>
      </c>
      <c r="O57" s="25"/>
      <c r="P57" s="36">
        <f>+P53-P55</f>
        <v>-41601.359999999993</v>
      </c>
      <c r="Q57" s="13"/>
      <c r="R57" s="34">
        <f>IF(P$12=0,0,P57/P$12)</f>
        <v>0</v>
      </c>
      <c r="S57" s="13"/>
      <c r="T57" s="36">
        <f>+T53-T55</f>
        <v>-39398.04</v>
      </c>
      <c r="U57" s="13"/>
      <c r="V57" s="34">
        <f>IF(T$12=0,0,T57/T$12)</f>
        <v>0</v>
      </c>
      <c r="W57" s="16"/>
      <c r="X57" s="36">
        <f>P57-T57</f>
        <v>-2203.3199999999924</v>
      </c>
      <c r="Y57" s="16"/>
      <c r="Z57" s="34">
        <f>IF(T57=0,0,X57/T57)</f>
        <v>5.5924609447576386E-2</v>
      </c>
    </row>
    <row r="58" spans="1:26" ht="15" thickTop="1" x14ac:dyDescent="0.3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x14ac:dyDescent="0.3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ht="15" thickBot="1" x14ac:dyDescent="0.35">
      <c r="A60" s="10"/>
      <c r="B60" s="26" t="s">
        <v>293</v>
      </c>
      <c r="C60" s="26"/>
      <c r="D60" s="31">
        <f>SUM(D57:D59)</f>
        <v>-41601.359999999993</v>
      </c>
      <c r="E60" s="13"/>
      <c r="F60" s="33">
        <f>IF(D$12=0,0,D60/D$12)</f>
        <v>0</v>
      </c>
      <c r="G60" s="13"/>
      <c r="H60" s="31">
        <f>SUM(H57:H59)</f>
        <v>-39398.04</v>
      </c>
      <c r="I60" s="13"/>
      <c r="J60" s="33">
        <f>IF(H$12=0,0,H60/H$12)</f>
        <v>0</v>
      </c>
      <c r="K60" s="16"/>
      <c r="L60" s="31">
        <f>+D60-H60</f>
        <v>-2203.3199999999924</v>
      </c>
      <c r="M60" s="16"/>
      <c r="N60" s="33">
        <f>IF(H60=0,0,L60/H60)</f>
        <v>5.5924609447576386E-2</v>
      </c>
      <c r="O60" s="25"/>
      <c r="P60" s="31">
        <f>SUM(P57:P59)</f>
        <v>-41601.359999999993</v>
      </c>
      <c r="Q60" s="13"/>
      <c r="R60" s="33">
        <f>IF(P$12=0,0,P60/P$12)</f>
        <v>0</v>
      </c>
      <c r="S60" s="13"/>
      <c r="T60" s="31">
        <f>SUM(T57:T59)</f>
        <v>-39398.04</v>
      </c>
      <c r="U60" s="13"/>
      <c r="V60" s="33">
        <f>IF(T$12=0,0,T60/T$12)</f>
        <v>0</v>
      </c>
      <c r="W60" s="16"/>
      <c r="X60" s="31">
        <f>+P60-T60</f>
        <v>-2203.3199999999924</v>
      </c>
      <c r="Y60" s="16"/>
      <c r="Z60" s="33">
        <f>IF(T60=0,0,X60/T60)</f>
        <v>5.5924609447576386E-2</v>
      </c>
    </row>
    <row r="61" spans="1:26" ht="15" thickTop="1" x14ac:dyDescent="0.3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59">
        <v>44462.666945868055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A63" s="9"/>
      <c r="B63" s="57" t="s">
        <v>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3">
      <c r="A64" s="9"/>
      <c r="B64" s="61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3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58630.38</v>
      </c>
      <c r="E18" s="19"/>
      <c r="F18" s="35">
        <f t="shared" ref="F18:F28" si="0">IF(D$12=0,0,D18/D$12)</f>
        <v>0</v>
      </c>
      <c r="G18" s="19"/>
      <c r="H18" s="19">
        <f>SUM(OSRRefH22x_0)</f>
        <v>51043.509999999995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7586.8700000000026</v>
      </c>
      <c r="M18" s="4"/>
      <c r="N18" s="35">
        <f t="shared" ref="N18:N28" si="3">IF(H18=0,0,L18/H18)</f>
        <v>0.14863535050783153</v>
      </c>
      <c r="O18" s="10"/>
      <c r="P18" s="19">
        <f>SUM(OSRRefP22x_0)</f>
        <v>58630.38</v>
      </c>
      <c r="Q18" s="19"/>
      <c r="R18" s="35">
        <f t="shared" ref="R18:R28" si="4">IF(P$12=0,0,P18/P$12)</f>
        <v>0</v>
      </c>
      <c r="S18" s="19"/>
      <c r="T18" s="19">
        <f>SUM(OSRRefT22x_0)</f>
        <v>51043.509999999995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7586.8700000000026</v>
      </c>
      <c r="Y18" s="4"/>
      <c r="Z18" s="35">
        <f t="shared" ref="Z18:Z28" si="7">IF(T18=0,0,X18/T18)</f>
        <v>0.14863535050783153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13418.699999999999</v>
      </c>
      <c r="E19" s="1"/>
      <c r="F19" s="5">
        <f t="shared" si="0"/>
        <v>0</v>
      </c>
      <c r="G19" s="1"/>
      <c r="H19" s="1">
        <f>SUM(OSRRefH22_0x_0)</f>
        <v>12511.789999999999</v>
      </c>
      <c r="I19" s="1"/>
      <c r="J19" s="5">
        <f t="shared" si="1"/>
        <v>0</v>
      </c>
      <c r="K19" s="1"/>
      <c r="L19" s="1">
        <f t="shared" si="2"/>
        <v>906.90999999999985</v>
      </c>
      <c r="M19" s="1"/>
      <c r="N19" s="5">
        <f t="shared" si="3"/>
        <v>7.2484432683093306E-2</v>
      </c>
      <c r="O19" s="14"/>
      <c r="P19" s="1">
        <f>SUM(OSRRefP22_0x_0)</f>
        <v>13418.699999999999</v>
      </c>
      <c r="Q19" s="1"/>
      <c r="R19" s="5">
        <f t="shared" si="4"/>
        <v>0</v>
      </c>
      <c r="S19" s="1"/>
      <c r="T19" s="1">
        <f>SUM(OSRRefT22_0x_0)</f>
        <v>12511.789999999999</v>
      </c>
      <c r="U19" s="1"/>
      <c r="V19" s="5">
        <f t="shared" si="5"/>
        <v>0</v>
      </c>
      <c r="W19" s="1"/>
      <c r="X19" s="1">
        <f t="shared" si="6"/>
        <v>906.90999999999985</v>
      </c>
      <c r="Y19" s="1"/>
      <c r="Z19" s="5">
        <f t="shared" si="7"/>
        <v>7.2484432683093306E-2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2117.13</v>
      </c>
      <c r="E20" s="3"/>
      <c r="F20" s="7">
        <f t="shared" si="0"/>
        <v>0</v>
      </c>
      <c r="G20" s="3"/>
      <c r="H20" s="8">
        <v>1951.71</v>
      </c>
      <c r="I20" s="3"/>
      <c r="J20" s="7">
        <f t="shared" si="1"/>
        <v>0</v>
      </c>
      <c r="K20" s="3"/>
      <c r="L20" s="8">
        <f t="shared" si="2"/>
        <v>165.42000000000007</v>
      </c>
      <c r="M20" s="3"/>
      <c r="N20" s="7">
        <f t="shared" si="3"/>
        <v>8.4756444348801849E-2</v>
      </c>
      <c r="O20" s="12"/>
      <c r="P20" s="8">
        <v>2117.13</v>
      </c>
      <c r="Q20" s="3"/>
      <c r="R20" s="7">
        <f t="shared" si="4"/>
        <v>0</v>
      </c>
      <c r="S20" s="3"/>
      <c r="T20" s="8">
        <v>1951.71</v>
      </c>
      <c r="U20" s="3"/>
      <c r="V20" s="7">
        <f t="shared" si="5"/>
        <v>0</v>
      </c>
      <c r="W20" s="3"/>
      <c r="X20" s="8">
        <f t="shared" si="6"/>
        <v>165.42000000000007</v>
      </c>
      <c r="Y20" s="3"/>
      <c r="Z20" s="7">
        <f t="shared" si="7"/>
        <v>8.4756444348801849E-2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355.88</v>
      </c>
      <c r="E21" s="3"/>
      <c r="F21" s="7">
        <f t="shared" si="0"/>
        <v>0</v>
      </c>
      <c r="G21" s="3"/>
      <c r="H21" s="8">
        <v>83.99</v>
      </c>
      <c r="I21" s="3"/>
      <c r="J21" s="7">
        <f t="shared" si="1"/>
        <v>0</v>
      </c>
      <c r="K21" s="3"/>
      <c r="L21" s="8">
        <f t="shared" si="2"/>
        <v>271.89</v>
      </c>
      <c r="M21" s="3"/>
      <c r="N21" s="7">
        <f t="shared" si="3"/>
        <v>3.2371710917966423</v>
      </c>
      <c r="O21" s="12"/>
      <c r="P21" s="8">
        <v>355.88</v>
      </c>
      <c r="Q21" s="3"/>
      <c r="R21" s="7">
        <f t="shared" si="4"/>
        <v>0</v>
      </c>
      <c r="S21" s="3"/>
      <c r="T21" s="8">
        <v>83.99</v>
      </c>
      <c r="U21" s="3"/>
      <c r="V21" s="7">
        <f t="shared" si="5"/>
        <v>0</v>
      </c>
      <c r="W21" s="3"/>
      <c r="X21" s="8">
        <f t="shared" si="6"/>
        <v>271.89</v>
      </c>
      <c r="Y21" s="3"/>
      <c r="Z21" s="7">
        <f t="shared" si="7"/>
        <v>3.2371710917966423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6048.94</v>
      </c>
      <c r="E22" s="3"/>
      <c r="F22" s="7">
        <f t="shared" si="0"/>
        <v>0</v>
      </c>
      <c r="G22" s="3"/>
      <c r="H22" s="8">
        <v>6091.67</v>
      </c>
      <c r="I22" s="3"/>
      <c r="J22" s="7">
        <f t="shared" si="1"/>
        <v>0</v>
      </c>
      <c r="K22" s="3"/>
      <c r="L22" s="8">
        <f t="shared" si="2"/>
        <v>-42.730000000000473</v>
      </c>
      <c r="M22" s="3"/>
      <c r="N22" s="7">
        <f t="shared" si="3"/>
        <v>-7.0144968456926377E-3</v>
      </c>
      <c r="O22" s="12"/>
      <c r="P22" s="8">
        <v>6048.94</v>
      </c>
      <c r="Q22" s="3"/>
      <c r="R22" s="7">
        <f t="shared" si="4"/>
        <v>0</v>
      </c>
      <c r="S22" s="3"/>
      <c r="T22" s="8">
        <v>6091.67</v>
      </c>
      <c r="U22" s="3"/>
      <c r="V22" s="7">
        <f t="shared" si="5"/>
        <v>0</v>
      </c>
      <c r="W22" s="3"/>
      <c r="X22" s="8">
        <f t="shared" si="6"/>
        <v>-42.730000000000473</v>
      </c>
      <c r="Y22" s="3"/>
      <c r="Z22" s="7">
        <f t="shared" si="7"/>
        <v>-7.0144968456926377E-3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71.73</v>
      </c>
      <c r="E23" s="3"/>
      <c r="F23" s="7">
        <f t="shared" si="0"/>
        <v>0</v>
      </c>
      <c r="G23" s="3"/>
      <c r="H23" s="8">
        <v>66.17</v>
      </c>
      <c r="I23" s="3"/>
      <c r="J23" s="7">
        <f t="shared" si="1"/>
        <v>0</v>
      </c>
      <c r="K23" s="3"/>
      <c r="L23" s="8">
        <f t="shared" si="2"/>
        <v>5.5600000000000023</v>
      </c>
      <c r="M23" s="3"/>
      <c r="N23" s="7">
        <f t="shared" si="3"/>
        <v>8.4025993652712738E-2</v>
      </c>
      <c r="O23" s="12"/>
      <c r="P23" s="8">
        <v>71.73</v>
      </c>
      <c r="Q23" s="3"/>
      <c r="R23" s="7">
        <f t="shared" si="4"/>
        <v>0</v>
      </c>
      <c r="S23" s="3"/>
      <c r="T23" s="8">
        <v>66.17</v>
      </c>
      <c r="U23" s="3"/>
      <c r="V23" s="7">
        <f t="shared" si="5"/>
        <v>0</v>
      </c>
      <c r="W23" s="3"/>
      <c r="X23" s="8">
        <f t="shared" si="6"/>
        <v>5.5600000000000023</v>
      </c>
      <c r="Y23" s="3"/>
      <c r="Z23" s="7">
        <f t="shared" si="7"/>
        <v>8.4025993652712738E-2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1238.02</v>
      </c>
      <c r="E24" s="3"/>
      <c r="F24" s="7">
        <f t="shared" si="0"/>
        <v>0</v>
      </c>
      <c r="G24" s="3"/>
      <c r="H24" s="8">
        <v>1637.22</v>
      </c>
      <c r="I24" s="3"/>
      <c r="J24" s="7">
        <f t="shared" si="1"/>
        <v>0</v>
      </c>
      <c r="K24" s="3"/>
      <c r="L24" s="8">
        <f t="shared" si="2"/>
        <v>-399.20000000000005</v>
      </c>
      <c r="M24" s="3"/>
      <c r="N24" s="7">
        <f t="shared" si="3"/>
        <v>-0.24382795226053924</v>
      </c>
      <c r="O24" s="12"/>
      <c r="P24" s="8">
        <v>1238.02</v>
      </c>
      <c r="Q24" s="3"/>
      <c r="R24" s="7">
        <f t="shared" si="4"/>
        <v>0</v>
      </c>
      <c r="S24" s="3"/>
      <c r="T24" s="8">
        <v>1637.22</v>
      </c>
      <c r="U24" s="3"/>
      <c r="V24" s="7">
        <f t="shared" si="5"/>
        <v>0</v>
      </c>
      <c r="W24" s="3"/>
      <c r="X24" s="8">
        <f t="shared" si="6"/>
        <v>-399.20000000000005</v>
      </c>
      <c r="Y24" s="3"/>
      <c r="Z24" s="7">
        <f t="shared" si="7"/>
        <v>-0.24382795226053924</v>
      </c>
    </row>
    <row r="25" spans="1:26" s="24" customFormat="1" hidden="1" outlineLevel="2" x14ac:dyDescent="0.3">
      <c r="A25" s="27"/>
      <c r="B25" s="12" t="str">
        <f>CONCATENATE("          ", "6117", " - ", "RETIREMENT STAFF HOURLY")</f>
        <v xml:space="preserve">          6117 - RETIREMENT STAFF HOURLY</v>
      </c>
      <c r="C25" s="12"/>
      <c r="D25" s="8">
        <v>603.48</v>
      </c>
      <c r="E25" s="3"/>
      <c r="F25" s="7">
        <f t="shared" si="0"/>
        <v>0</v>
      </c>
      <c r="G25" s="3"/>
      <c r="H25" s="8">
        <v>829.22</v>
      </c>
      <c r="I25" s="3"/>
      <c r="J25" s="7">
        <f t="shared" si="1"/>
        <v>0</v>
      </c>
      <c r="K25" s="3"/>
      <c r="L25" s="8">
        <f t="shared" si="2"/>
        <v>-225.74</v>
      </c>
      <c r="M25" s="3"/>
      <c r="N25" s="7">
        <f t="shared" si="3"/>
        <v>-0.27223173584814647</v>
      </c>
      <c r="O25" s="12"/>
      <c r="P25" s="8">
        <v>603.48</v>
      </c>
      <c r="Q25" s="3"/>
      <c r="R25" s="7">
        <f t="shared" si="4"/>
        <v>0</v>
      </c>
      <c r="S25" s="3"/>
      <c r="T25" s="8">
        <v>829.22</v>
      </c>
      <c r="U25" s="3"/>
      <c r="V25" s="7">
        <f t="shared" si="5"/>
        <v>0</v>
      </c>
      <c r="W25" s="3"/>
      <c r="X25" s="8">
        <f t="shared" si="6"/>
        <v>-225.74</v>
      </c>
      <c r="Y25" s="3"/>
      <c r="Z25" s="7">
        <f t="shared" si="7"/>
        <v>-0.27223173584814647</v>
      </c>
    </row>
    <row r="26" spans="1:26" s="24" customFormat="1" hidden="1" outlineLevel="2" x14ac:dyDescent="0.3">
      <c r="A26" s="27"/>
      <c r="B26" s="12" t="str">
        <f>CONCATENATE("          ", "6118", " - ", "VACATION")</f>
        <v xml:space="preserve">          6118 - VACATION</v>
      </c>
      <c r="C26" s="12"/>
      <c r="D26" s="8">
        <v>1769.48</v>
      </c>
      <c r="E26" s="3"/>
      <c r="F26" s="7">
        <f t="shared" si="0"/>
        <v>0</v>
      </c>
      <c r="G26" s="3"/>
      <c r="H26" s="8">
        <v>935.69</v>
      </c>
      <c r="I26" s="3"/>
      <c r="J26" s="7">
        <f t="shared" si="1"/>
        <v>0</v>
      </c>
      <c r="K26" s="3"/>
      <c r="L26" s="8">
        <f t="shared" si="2"/>
        <v>833.79</v>
      </c>
      <c r="M26" s="3"/>
      <c r="N26" s="7">
        <f t="shared" si="3"/>
        <v>0.89109641013583551</v>
      </c>
      <c r="O26" s="12"/>
      <c r="P26" s="8">
        <v>1769.48</v>
      </c>
      <c r="Q26" s="3"/>
      <c r="R26" s="7">
        <f t="shared" si="4"/>
        <v>0</v>
      </c>
      <c r="S26" s="3"/>
      <c r="T26" s="8">
        <v>935.69</v>
      </c>
      <c r="U26" s="3"/>
      <c r="V26" s="7">
        <f t="shared" si="5"/>
        <v>0</v>
      </c>
      <c r="W26" s="3"/>
      <c r="X26" s="8">
        <f t="shared" si="6"/>
        <v>833.79</v>
      </c>
      <c r="Y26" s="3"/>
      <c r="Z26" s="7">
        <f t="shared" si="7"/>
        <v>0.89109641013583551</v>
      </c>
    </row>
    <row r="27" spans="1:26" s="24" customFormat="1" hidden="1" outlineLevel="2" x14ac:dyDescent="0.3">
      <c r="A27" s="27"/>
      <c r="B27" s="12" t="str">
        <f>CONCATENATE("          ", "6119", " - ", "SICK LEAVE")</f>
        <v xml:space="preserve">          6119 - SICK LEAVE</v>
      </c>
      <c r="C27" s="12"/>
      <c r="D27" s="8">
        <v>1161.08</v>
      </c>
      <c r="E27" s="3"/>
      <c r="F27" s="7">
        <f t="shared" si="0"/>
        <v>0</v>
      </c>
      <c r="G27" s="3"/>
      <c r="H27" s="8">
        <v>908.12</v>
      </c>
      <c r="I27" s="3"/>
      <c r="J27" s="7">
        <f t="shared" si="1"/>
        <v>0</v>
      </c>
      <c r="K27" s="3"/>
      <c r="L27" s="8">
        <f t="shared" si="2"/>
        <v>252.95999999999992</v>
      </c>
      <c r="M27" s="3"/>
      <c r="N27" s="7">
        <f t="shared" si="3"/>
        <v>0.27855349513280175</v>
      </c>
      <c r="O27" s="12"/>
      <c r="P27" s="8">
        <v>1161.08</v>
      </c>
      <c r="Q27" s="3"/>
      <c r="R27" s="7">
        <f t="shared" si="4"/>
        <v>0</v>
      </c>
      <c r="S27" s="3"/>
      <c r="T27" s="8">
        <v>908.12</v>
      </c>
      <c r="U27" s="3"/>
      <c r="V27" s="7">
        <f t="shared" si="5"/>
        <v>0</v>
      </c>
      <c r="W27" s="3"/>
      <c r="X27" s="8">
        <f t="shared" si="6"/>
        <v>252.95999999999992</v>
      </c>
      <c r="Y27" s="3"/>
      <c r="Z27" s="7">
        <f t="shared" si="7"/>
        <v>0.27855349513280175</v>
      </c>
    </row>
    <row r="28" spans="1:26" s="24" customFormat="1" hidden="1" outlineLevel="2" x14ac:dyDescent="0.3">
      <c r="A28" s="27"/>
      <c r="B28" s="12" t="str">
        <f>CONCATENATE("          ", "6156", " - ", "EMPLOYEE MEALS")</f>
        <v xml:space="preserve">          6156 - EMPLOYEE MEALS</v>
      </c>
      <c r="C28" s="12"/>
      <c r="D28" s="8">
        <v>52.96</v>
      </c>
      <c r="E28" s="3"/>
      <c r="F28" s="7">
        <f t="shared" si="0"/>
        <v>0</v>
      </c>
      <c r="G28" s="3"/>
      <c r="H28" s="8">
        <v>8</v>
      </c>
      <c r="I28" s="3"/>
      <c r="J28" s="7">
        <f t="shared" si="1"/>
        <v>0</v>
      </c>
      <c r="K28" s="3"/>
      <c r="L28" s="8">
        <f t="shared" si="2"/>
        <v>44.96</v>
      </c>
      <c r="M28" s="3"/>
      <c r="N28" s="7">
        <f t="shared" si="3"/>
        <v>5.62</v>
      </c>
      <c r="O28" s="12"/>
      <c r="P28" s="8">
        <v>52.96</v>
      </c>
      <c r="Q28" s="3"/>
      <c r="R28" s="7">
        <f t="shared" si="4"/>
        <v>0</v>
      </c>
      <c r="S28" s="3"/>
      <c r="T28" s="8">
        <v>8</v>
      </c>
      <c r="U28" s="3"/>
      <c r="V28" s="7">
        <f t="shared" si="5"/>
        <v>0</v>
      </c>
      <c r="W28" s="3"/>
      <c r="X28" s="8">
        <f t="shared" si="6"/>
        <v>44.96</v>
      </c>
      <c r="Y28" s="3"/>
      <c r="Z28" s="7">
        <f t="shared" si="7"/>
        <v>5.62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32156.34</v>
      </c>
      <c r="E29" s="1"/>
      <c r="F29" s="5">
        <f t="shared" ref="F29:F33" si="8">IF(D$12=0,0,D29/D$12)</f>
        <v>0</v>
      </c>
      <c r="G29" s="1"/>
      <c r="H29" s="1">
        <f>SUM(OSRRefH22_1x_0)</f>
        <v>31451</v>
      </c>
      <c r="I29" s="1"/>
      <c r="J29" s="5">
        <f t="shared" ref="J29:J33" si="9">IF(H$12=0,0,H29/H$12)</f>
        <v>0</v>
      </c>
      <c r="K29" s="1"/>
      <c r="L29" s="1">
        <f t="shared" ref="L29:L33" si="10">+D29-H29</f>
        <v>705.34000000000015</v>
      </c>
      <c r="M29" s="1"/>
      <c r="N29" s="5">
        <f t="shared" ref="N29:N33" si="11">IF(H29=0,0,L29/H29)</f>
        <v>2.2426631903596075E-2</v>
      </c>
      <c r="O29" s="14"/>
      <c r="P29" s="1">
        <f>SUM(OSRRefP22_1x_0)</f>
        <v>32156.34</v>
      </c>
      <c r="Q29" s="1"/>
      <c r="R29" s="5">
        <f t="shared" ref="R29:R33" si="12">IF(P$12=0,0,P29/P$12)</f>
        <v>0</v>
      </c>
      <c r="S29" s="1"/>
      <c r="T29" s="1">
        <f>SUM(OSRRefT22_1x_0)</f>
        <v>31451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705.34000000000015</v>
      </c>
      <c r="Y29" s="1"/>
      <c r="Z29" s="5">
        <f t="shared" ref="Z29:Z33" si="15">IF(T29=0,0,X29/T29)</f>
        <v>2.2426631903596075E-2</v>
      </c>
    </row>
    <row r="30" spans="1:26" s="24" customFormat="1" hidden="1" outlineLevel="2" x14ac:dyDescent="0.3">
      <c r="A30" s="27"/>
      <c r="B30" s="12" t="str">
        <f>CONCATENATE("          ", "6001", " - ", "ADMINISTRATIVE SALARIES")</f>
        <v xml:space="preserve">          6001 - ADMINISTRATIVE SALARIES</v>
      </c>
      <c r="C30" s="12"/>
      <c r="D30" s="8">
        <v>13086</v>
      </c>
      <c r="E30" s="3"/>
      <c r="F30" s="7">
        <f t="shared" si="8"/>
        <v>0</v>
      </c>
      <c r="G30" s="3"/>
      <c r="H30" s="8">
        <v>11873.95</v>
      </c>
      <c r="I30" s="3"/>
      <c r="J30" s="7">
        <f t="shared" si="9"/>
        <v>0</v>
      </c>
      <c r="K30" s="3"/>
      <c r="L30" s="8">
        <f t="shared" si="10"/>
        <v>1212.0499999999993</v>
      </c>
      <c r="M30" s="3"/>
      <c r="N30" s="7">
        <f t="shared" si="11"/>
        <v>0.10207639412326978</v>
      </c>
      <c r="O30" s="12"/>
      <c r="P30" s="8">
        <v>13086</v>
      </c>
      <c r="Q30" s="3"/>
      <c r="R30" s="7">
        <f t="shared" si="12"/>
        <v>0</v>
      </c>
      <c r="S30" s="3"/>
      <c r="T30" s="8">
        <v>11873.95</v>
      </c>
      <c r="U30" s="3"/>
      <c r="V30" s="7">
        <f t="shared" si="13"/>
        <v>0</v>
      </c>
      <c r="W30" s="3"/>
      <c r="X30" s="8">
        <f t="shared" si="14"/>
        <v>1212.0499999999993</v>
      </c>
      <c r="Y30" s="3"/>
      <c r="Z30" s="7">
        <f t="shared" si="15"/>
        <v>0.10207639412326978</v>
      </c>
    </row>
    <row r="31" spans="1:26" s="24" customFormat="1" hidden="1" outlineLevel="2" x14ac:dyDescent="0.3">
      <c r="A31" s="27"/>
      <c r="B31" s="12" t="str">
        <f>CONCATENATE("          ", "6004", " - ", "STAFF HOURLY")</f>
        <v xml:space="preserve">          6004 - STAFF HOURLY</v>
      </c>
      <c r="C31" s="12"/>
      <c r="D31" s="8">
        <v>13206.34</v>
      </c>
      <c r="E31" s="3"/>
      <c r="F31" s="7">
        <f t="shared" si="8"/>
        <v>0</v>
      </c>
      <c r="G31" s="3"/>
      <c r="H31" s="8">
        <v>9753.7099999999991</v>
      </c>
      <c r="I31" s="3"/>
      <c r="J31" s="7">
        <f t="shared" si="9"/>
        <v>0</v>
      </c>
      <c r="K31" s="3"/>
      <c r="L31" s="8">
        <f t="shared" si="10"/>
        <v>3452.630000000001</v>
      </c>
      <c r="M31" s="3"/>
      <c r="N31" s="7">
        <f t="shared" si="11"/>
        <v>0.35398120304991654</v>
      </c>
      <c r="O31" s="12"/>
      <c r="P31" s="8">
        <v>13206.34</v>
      </c>
      <c r="Q31" s="3"/>
      <c r="R31" s="7">
        <f t="shared" si="12"/>
        <v>0</v>
      </c>
      <c r="S31" s="3"/>
      <c r="T31" s="8">
        <v>9753.7099999999991</v>
      </c>
      <c r="U31" s="3"/>
      <c r="V31" s="7">
        <f t="shared" si="13"/>
        <v>0</v>
      </c>
      <c r="W31" s="3"/>
      <c r="X31" s="8">
        <f t="shared" si="14"/>
        <v>3452.630000000001</v>
      </c>
      <c r="Y31" s="3"/>
      <c r="Z31" s="7">
        <f t="shared" si="15"/>
        <v>0.35398120304991654</v>
      </c>
    </row>
    <row r="32" spans="1:26" s="24" customFormat="1" hidden="1" outlineLevel="2" x14ac:dyDescent="0.3">
      <c r="A32" s="27"/>
      <c r="B32" s="12" t="str">
        <f>CONCATENATE("          ", "6005", " - ", "TEMPORARY WAGES-HOURLY")</f>
        <v xml:space="preserve">          6005 - TEMPORARY WAGES-HOURLY</v>
      </c>
      <c r="C32" s="12"/>
      <c r="D32" s="8">
        <v>2027</v>
      </c>
      <c r="E32" s="3"/>
      <c r="F32" s="7">
        <f t="shared" si="8"/>
        <v>0</v>
      </c>
      <c r="G32" s="3"/>
      <c r="H32" s="8">
        <v>5883.34</v>
      </c>
      <c r="I32" s="3"/>
      <c r="J32" s="7">
        <f t="shared" si="9"/>
        <v>0</v>
      </c>
      <c r="K32" s="3"/>
      <c r="L32" s="8">
        <f t="shared" si="10"/>
        <v>-3856.34</v>
      </c>
      <c r="M32" s="3"/>
      <c r="N32" s="7">
        <f t="shared" si="11"/>
        <v>-0.65546781250106234</v>
      </c>
      <c r="O32" s="12"/>
      <c r="P32" s="8">
        <v>2027</v>
      </c>
      <c r="Q32" s="3"/>
      <c r="R32" s="7">
        <f t="shared" si="12"/>
        <v>0</v>
      </c>
      <c r="S32" s="3"/>
      <c r="T32" s="8">
        <v>5883.34</v>
      </c>
      <c r="U32" s="3"/>
      <c r="V32" s="7">
        <f t="shared" si="13"/>
        <v>0</v>
      </c>
      <c r="W32" s="3"/>
      <c r="X32" s="8">
        <f t="shared" si="14"/>
        <v>-3856.34</v>
      </c>
      <c r="Y32" s="3"/>
      <c r="Z32" s="7">
        <f t="shared" si="15"/>
        <v>-0.65546781250106234</v>
      </c>
    </row>
    <row r="33" spans="1:26" s="24" customFormat="1" hidden="1" outlineLevel="2" x14ac:dyDescent="0.3">
      <c r="A33" s="27"/>
      <c r="B33" s="12" t="str">
        <f>CONCATENATE("          ", "6007", " - ", "STUDENT HOURLY")</f>
        <v xml:space="preserve">          6007 - STUDENT HOURLY</v>
      </c>
      <c r="C33" s="12"/>
      <c r="D33" s="8">
        <v>3837</v>
      </c>
      <c r="E33" s="3"/>
      <c r="F33" s="7">
        <f t="shared" si="8"/>
        <v>0</v>
      </c>
      <c r="G33" s="3"/>
      <c r="H33" s="8">
        <v>3940</v>
      </c>
      <c r="I33" s="3"/>
      <c r="J33" s="7">
        <f t="shared" si="9"/>
        <v>0</v>
      </c>
      <c r="K33" s="3"/>
      <c r="L33" s="8">
        <f t="shared" si="10"/>
        <v>-103</v>
      </c>
      <c r="M33" s="3"/>
      <c r="N33" s="7">
        <f t="shared" si="11"/>
        <v>-2.6142131979695431E-2</v>
      </c>
      <c r="O33" s="12"/>
      <c r="P33" s="8">
        <v>3837</v>
      </c>
      <c r="Q33" s="3"/>
      <c r="R33" s="7">
        <f t="shared" si="12"/>
        <v>0</v>
      </c>
      <c r="S33" s="3"/>
      <c r="T33" s="8">
        <v>3940</v>
      </c>
      <c r="U33" s="3"/>
      <c r="V33" s="7">
        <f t="shared" si="13"/>
        <v>0</v>
      </c>
      <c r="W33" s="3"/>
      <c r="X33" s="8">
        <f t="shared" si="14"/>
        <v>-103</v>
      </c>
      <c r="Y33" s="3"/>
      <c r="Z33" s="7">
        <f t="shared" si="15"/>
        <v>-2.6142131979695431E-2</v>
      </c>
    </row>
    <row r="34" spans="1:26" s="29" customFormat="1" outlineLevel="1" collapsed="1" x14ac:dyDescent="0.3">
      <c r="A34" s="28"/>
      <c r="B34" s="14" t="str">
        <f>CONCATENATE("     ","Freight out/Postage                               ")</f>
        <v xml:space="preserve">     Freight out/Postage                               </v>
      </c>
      <c r="C34" s="14"/>
      <c r="D34" s="1">
        <f>SUM(OSRRefD22_2x_0)</f>
        <v>1.73</v>
      </c>
      <c r="E34" s="1"/>
      <c r="F34" s="5">
        <f t="shared" ref="F34:F42" si="16">IF(D$12=0,0,D34/D$12)</f>
        <v>0</v>
      </c>
      <c r="G34" s="1"/>
      <c r="H34" s="1">
        <f>SUM(OSRRefH22_2x_0)</f>
        <v>3.5</v>
      </c>
      <c r="I34" s="1"/>
      <c r="J34" s="5">
        <f t="shared" ref="J34:J42" si="17">IF(H$12=0,0,H34/H$12)</f>
        <v>0</v>
      </c>
      <c r="K34" s="1"/>
      <c r="L34" s="1">
        <f t="shared" ref="L34:L42" si="18">+D34-H34</f>
        <v>-1.77</v>
      </c>
      <c r="M34" s="1"/>
      <c r="N34" s="5">
        <f t="shared" ref="N34:N42" si="19">IF(H34=0,0,L34/H34)</f>
        <v>-0.50571428571428567</v>
      </c>
      <c r="O34" s="14"/>
      <c r="P34" s="1">
        <f>SUM(OSRRefP22_2x_0)</f>
        <v>1.73</v>
      </c>
      <c r="Q34" s="1"/>
      <c r="R34" s="5">
        <f t="shared" ref="R34:R42" si="20">IF(P$12=0,0,P34/P$12)</f>
        <v>0</v>
      </c>
      <c r="S34" s="1"/>
      <c r="T34" s="1">
        <f>SUM(OSRRefT22_2x_0)</f>
        <v>3.5</v>
      </c>
      <c r="U34" s="1"/>
      <c r="V34" s="5">
        <f t="shared" ref="V34:V42" si="21">IF(T$12=0,0,T34/T$12)</f>
        <v>0</v>
      </c>
      <c r="W34" s="1"/>
      <c r="X34" s="1">
        <f t="shared" ref="X34:X42" si="22">+P34-T34</f>
        <v>-1.77</v>
      </c>
      <c r="Y34" s="1"/>
      <c r="Z34" s="5">
        <f t="shared" ref="Z34:Z42" si="23">IF(T34=0,0,X34/T34)</f>
        <v>-0.50571428571428567</v>
      </c>
    </row>
    <row r="35" spans="1:26" s="24" customFormat="1" hidden="1" outlineLevel="2" x14ac:dyDescent="0.3">
      <c r="A35" s="27"/>
      <c r="B35" s="12" t="str">
        <f>CONCATENATE("          ", "6307", " - ", "POSTAGE")</f>
        <v xml:space="preserve">          6307 - POSTAGE</v>
      </c>
      <c r="C35" s="12"/>
      <c r="D35" s="8">
        <v>1.73</v>
      </c>
      <c r="E35" s="3"/>
      <c r="F35" s="7">
        <f t="shared" si="16"/>
        <v>0</v>
      </c>
      <c r="G35" s="3"/>
      <c r="H35" s="8">
        <v>3.5</v>
      </c>
      <c r="I35" s="3"/>
      <c r="J35" s="7">
        <f t="shared" si="17"/>
        <v>0</v>
      </c>
      <c r="K35" s="3"/>
      <c r="L35" s="8">
        <f t="shared" si="18"/>
        <v>-1.77</v>
      </c>
      <c r="M35" s="3"/>
      <c r="N35" s="7">
        <f t="shared" si="19"/>
        <v>-0.50571428571428567</v>
      </c>
      <c r="O35" s="12"/>
      <c r="P35" s="8">
        <v>1.73</v>
      </c>
      <c r="Q35" s="3"/>
      <c r="R35" s="7">
        <f t="shared" si="20"/>
        <v>0</v>
      </c>
      <c r="S35" s="3"/>
      <c r="T35" s="8">
        <v>3.5</v>
      </c>
      <c r="U35" s="3"/>
      <c r="V35" s="7">
        <f t="shared" si="21"/>
        <v>0</v>
      </c>
      <c r="W35" s="3"/>
      <c r="X35" s="8">
        <f t="shared" si="22"/>
        <v>-1.77</v>
      </c>
      <c r="Y35" s="3"/>
      <c r="Z35" s="7">
        <f t="shared" si="23"/>
        <v>-0.50571428571428567</v>
      </c>
    </row>
    <row r="36" spans="1:26" s="29" customFormat="1" outlineLevel="1" collapsed="1" x14ac:dyDescent="0.3">
      <c r="A36" s="28"/>
      <c r="B36" s="14" t="str">
        <f>CONCATENATE("     ","General                                           ")</f>
        <v xml:space="preserve">     General                                           </v>
      </c>
      <c r="C36" s="14"/>
      <c r="D36" s="1">
        <f>SUM(OSRRefD22_3x_0)</f>
        <v>1029.5</v>
      </c>
      <c r="E36" s="1"/>
      <c r="F36" s="5">
        <f t="shared" si="16"/>
        <v>0</v>
      </c>
      <c r="G36" s="1"/>
      <c r="H36" s="1">
        <f>SUM(OSRRefH22_3x_0)</f>
        <v>0</v>
      </c>
      <c r="I36" s="1"/>
      <c r="J36" s="5">
        <f t="shared" si="17"/>
        <v>0</v>
      </c>
      <c r="K36" s="1"/>
      <c r="L36" s="1">
        <f t="shared" si="18"/>
        <v>1029.5</v>
      </c>
      <c r="M36" s="1"/>
      <c r="N36" s="5">
        <f t="shared" si="19"/>
        <v>0</v>
      </c>
      <c r="O36" s="14"/>
      <c r="P36" s="1">
        <f>SUM(OSRRefP22_3x_0)</f>
        <v>1029.5</v>
      </c>
      <c r="Q36" s="1"/>
      <c r="R36" s="5">
        <f t="shared" si="20"/>
        <v>0</v>
      </c>
      <c r="S36" s="1"/>
      <c r="T36" s="1">
        <f>SUM(OSRRefT22_3x_0)</f>
        <v>0</v>
      </c>
      <c r="U36" s="1"/>
      <c r="V36" s="5">
        <f t="shared" si="21"/>
        <v>0</v>
      </c>
      <c r="W36" s="1"/>
      <c r="X36" s="1">
        <f t="shared" si="22"/>
        <v>1029.5</v>
      </c>
      <c r="Y36" s="1"/>
      <c r="Z36" s="5">
        <f t="shared" si="23"/>
        <v>0</v>
      </c>
    </row>
    <row r="37" spans="1:26" s="24" customFormat="1" hidden="1" outlineLevel="2" x14ac:dyDescent="0.3">
      <c r="A37" s="27"/>
      <c r="B37" s="12" t="str">
        <f>CONCATENATE("          ", "6279", " - ", "GENERAL EXPENSE")</f>
        <v xml:space="preserve">          6279 - GENERAL EXPENSE</v>
      </c>
      <c r="C37" s="12"/>
      <c r="D37" s="8">
        <v>1029.5</v>
      </c>
      <c r="E37" s="3"/>
      <c r="F37" s="7">
        <f t="shared" si="16"/>
        <v>0</v>
      </c>
      <c r="G37" s="3"/>
      <c r="H37" s="8"/>
      <c r="I37" s="3"/>
      <c r="J37" s="7">
        <f t="shared" si="17"/>
        <v>0</v>
      </c>
      <c r="K37" s="3"/>
      <c r="L37" s="8">
        <f t="shared" si="18"/>
        <v>1029.5</v>
      </c>
      <c r="M37" s="3"/>
      <c r="N37" s="7">
        <f t="shared" si="19"/>
        <v>0</v>
      </c>
      <c r="O37" s="12"/>
      <c r="P37" s="8">
        <v>1029.5</v>
      </c>
      <c r="Q37" s="3"/>
      <c r="R37" s="7">
        <f t="shared" si="20"/>
        <v>0</v>
      </c>
      <c r="S37" s="3"/>
      <c r="T37" s="8"/>
      <c r="U37" s="3"/>
      <c r="V37" s="7">
        <f t="shared" si="21"/>
        <v>0</v>
      </c>
      <c r="W37" s="3"/>
      <c r="X37" s="8">
        <f t="shared" si="22"/>
        <v>1029.5</v>
      </c>
      <c r="Y37" s="3"/>
      <c r="Z37" s="7">
        <f t="shared" si="23"/>
        <v>0</v>
      </c>
    </row>
    <row r="38" spans="1:26" s="29" customFormat="1" outlineLevel="1" collapsed="1" x14ac:dyDescent="0.3">
      <c r="A38" s="28"/>
      <c r="B38" s="14" t="str">
        <f>CONCATENATE("     ","Insurance                                         ")</f>
        <v xml:space="preserve">     Insurance                                         </v>
      </c>
      <c r="C38" s="14"/>
      <c r="D38" s="1">
        <f>SUM(OSRRefD22_4x_0)</f>
        <v>88.99</v>
      </c>
      <c r="E38" s="1"/>
      <c r="F38" s="5">
        <f t="shared" si="16"/>
        <v>0</v>
      </c>
      <c r="G38" s="1"/>
      <c r="H38" s="1">
        <f>SUM(OSRRefH22_4x_0)</f>
        <v>65.47</v>
      </c>
      <c r="I38" s="1"/>
      <c r="J38" s="5">
        <f t="shared" si="17"/>
        <v>0</v>
      </c>
      <c r="K38" s="1"/>
      <c r="L38" s="1">
        <f t="shared" si="18"/>
        <v>23.519999999999996</v>
      </c>
      <c r="M38" s="1"/>
      <c r="N38" s="5">
        <f t="shared" si="19"/>
        <v>0.35924851076829079</v>
      </c>
      <c r="O38" s="14"/>
      <c r="P38" s="1">
        <f>SUM(OSRRefP22_4x_0)</f>
        <v>88.99</v>
      </c>
      <c r="Q38" s="1"/>
      <c r="R38" s="5">
        <f t="shared" si="20"/>
        <v>0</v>
      </c>
      <c r="S38" s="1"/>
      <c r="T38" s="1">
        <f>SUM(OSRRefT22_4x_0)</f>
        <v>65.47</v>
      </c>
      <c r="U38" s="1"/>
      <c r="V38" s="5">
        <f t="shared" si="21"/>
        <v>0</v>
      </c>
      <c r="W38" s="1"/>
      <c r="X38" s="1">
        <f t="shared" si="22"/>
        <v>23.519999999999996</v>
      </c>
      <c r="Y38" s="1"/>
      <c r="Z38" s="5">
        <f t="shared" si="23"/>
        <v>0.35924851076829079</v>
      </c>
    </row>
    <row r="39" spans="1:26" s="24" customFormat="1" hidden="1" outlineLevel="2" x14ac:dyDescent="0.3">
      <c r="A39" s="27"/>
      <c r="B39" s="12" t="str">
        <f>CONCATENATE("          ", "6314", " - ", "LIABILITY INSURANCE")</f>
        <v xml:space="preserve">          6314 - LIABILITY INSURANCE</v>
      </c>
      <c r="C39" s="12"/>
      <c r="D39" s="8">
        <v>88.99</v>
      </c>
      <c r="E39" s="3"/>
      <c r="F39" s="7">
        <f t="shared" si="16"/>
        <v>0</v>
      </c>
      <c r="G39" s="3"/>
      <c r="H39" s="8">
        <v>65.47</v>
      </c>
      <c r="I39" s="3"/>
      <c r="J39" s="7">
        <f t="shared" si="17"/>
        <v>0</v>
      </c>
      <c r="K39" s="3"/>
      <c r="L39" s="8">
        <f t="shared" si="18"/>
        <v>23.519999999999996</v>
      </c>
      <c r="M39" s="3"/>
      <c r="N39" s="7">
        <f t="shared" si="19"/>
        <v>0.35924851076829079</v>
      </c>
      <c r="O39" s="12"/>
      <c r="P39" s="8">
        <v>88.99</v>
      </c>
      <c r="Q39" s="3"/>
      <c r="R39" s="7">
        <f t="shared" si="20"/>
        <v>0</v>
      </c>
      <c r="S39" s="3"/>
      <c r="T39" s="8">
        <v>65.47</v>
      </c>
      <c r="U39" s="3"/>
      <c r="V39" s="7">
        <f t="shared" si="21"/>
        <v>0</v>
      </c>
      <c r="W39" s="3"/>
      <c r="X39" s="8">
        <f t="shared" si="22"/>
        <v>23.519999999999996</v>
      </c>
      <c r="Y39" s="3"/>
      <c r="Z39" s="7">
        <f t="shared" si="23"/>
        <v>0.35924851076829079</v>
      </c>
    </row>
    <row r="40" spans="1:26" s="29" customFormat="1" outlineLevel="1" collapsed="1" x14ac:dyDescent="0.3">
      <c r="A40" s="28"/>
      <c r="B40" s="14" t="str">
        <f>CONCATENATE("     ","Professional Services                             ")</f>
        <v xml:space="preserve">     Professional Services                             </v>
      </c>
      <c r="C40" s="14"/>
      <c r="D40" s="1">
        <f>SUM(OSRRefD22_5x_0)</f>
        <v>4950</v>
      </c>
      <c r="E40" s="1"/>
      <c r="F40" s="5">
        <f t="shared" si="16"/>
        <v>0</v>
      </c>
      <c r="G40" s="1"/>
      <c r="H40" s="1">
        <f>SUM(OSRRefH22_5x_0)</f>
        <v>1655</v>
      </c>
      <c r="I40" s="1"/>
      <c r="J40" s="5">
        <f t="shared" si="17"/>
        <v>0</v>
      </c>
      <c r="K40" s="1"/>
      <c r="L40" s="1">
        <f t="shared" si="18"/>
        <v>3295</v>
      </c>
      <c r="M40" s="1"/>
      <c r="N40" s="5">
        <f t="shared" si="19"/>
        <v>1.9909365558912386</v>
      </c>
      <c r="O40" s="14"/>
      <c r="P40" s="1">
        <f>SUM(OSRRefP22_5x_0)</f>
        <v>4950</v>
      </c>
      <c r="Q40" s="1"/>
      <c r="R40" s="5">
        <f t="shared" si="20"/>
        <v>0</v>
      </c>
      <c r="S40" s="1"/>
      <c r="T40" s="1">
        <f>SUM(OSRRefT22_5x_0)</f>
        <v>1655</v>
      </c>
      <c r="U40" s="1"/>
      <c r="V40" s="5">
        <f t="shared" si="21"/>
        <v>0</v>
      </c>
      <c r="W40" s="1"/>
      <c r="X40" s="1">
        <f t="shared" si="22"/>
        <v>3295</v>
      </c>
      <c r="Y40" s="1"/>
      <c r="Z40" s="5">
        <f t="shared" si="23"/>
        <v>1.9909365558912386</v>
      </c>
    </row>
    <row r="41" spans="1:26" s="24" customFormat="1" hidden="1" outlineLevel="2" x14ac:dyDescent="0.3">
      <c r="A41" s="27"/>
      <c r="B41" s="12" t="str">
        <f>CONCATENATE("          ", "6334", " - ", "LEGAL COUNCIL EXPENSE")</f>
        <v xml:space="preserve">          6334 - LEGAL COUNCIL EXPENSE</v>
      </c>
      <c r="C41" s="12"/>
      <c r="D41" s="8">
        <v>3255</v>
      </c>
      <c r="E41" s="3"/>
      <c r="F41" s="7">
        <f t="shared" si="16"/>
        <v>0</v>
      </c>
      <c r="G41" s="3"/>
      <c r="H41" s="8"/>
      <c r="I41" s="3"/>
      <c r="J41" s="7">
        <f t="shared" si="17"/>
        <v>0</v>
      </c>
      <c r="K41" s="3"/>
      <c r="L41" s="8">
        <f t="shared" si="18"/>
        <v>3255</v>
      </c>
      <c r="M41" s="3"/>
      <c r="N41" s="7">
        <f t="shared" si="19"/>
        <v>0</v>
      </c>
      <c r="O41" s="12"/>
      <c r="P41" s="8">
        <v>3255</v>
      </c>
      <c r="Q41" s="3"/>
      <c r="R41" s="7">
        <f t="shared" si="20"/>
        <v>0</v>
      </c>
      <c r="S41" s="3"/>
      <c r="T41" s="8"/>
      <c r="U41" s="3"/>
      <c r="V41" s="7">
        <f t="shared" si="21"/>
        <v>0</v>
      </c>
      <c r="W41" s="3"/>
      <c r="X41" s="8">
        <f t="shared" si="22"/>
        <v>3255</v>
      </c>
      <c r="Y41" s="3"/>
      <c r="Z41" s="7">
        <f t="shared" si="23"/>
        <v>0</v>
      </c>
    </row>
    <row r="42" spans="1:26" s="24" customFormat="1" hidden="1" outlineLevel="2" x14ac:dyDescent="0.3">
      <c r="A42" s="27"/>
      <c r="B42" s="12" t="str">
        <f>CONCATENATE("          ", "6336", " - ", "PROFESSIONAL SERVICES")</f>
        <v xml:space="preserve">          6336 - PROFESSIONAL SERVICES</v>
      </c>
      <c r="C42" s="12"/>
      <c r="D42" s="8">
        <v>1695</v>
      </c>
      <c r="E42" s="3"/>
      <c r="F42" s="7">
        <f t="shared" si="16"/>
        <v>0</v>
      </c>
      <c r="G42" s="3"/>
      <c r="H42" s="8">
        <v>1655</v>
      </c>
      <c r="I42" s="3"/>
      <c r="J42" s="7">
        <f t="shared" si="17"/>
        <v>0</v>
      </c>
      <c r="K42" s="3"/>
      <c r="L42" s="8">
        <f t="shared" si="18"/>
        <v>40</v>
      </c>
      <c r="M42" s="3"/>
      <c r="N42" s="7">
        <f t="shared" si="19"/>
        <v>2.4169184290030211E-2</v>
      </c>
      <c r="O42" s="12"/>
      <c r="P42" s="8">
        <v>1695</v>
      </c>
      <c r="Q42" s="3"/>
      <c r="R42" s="7">
        <f t="shared" si="20"/>
        <v>0</v>
      </c>
      <c r="S42" s="3"/>
      <c r="T42" s="8">
        <v>1655</v>
      </c>
      <c r="U42" s="3"/>
      <c r="V42" s="7">
        <f t="shared" si="21"/>
        <v>0</v>
      </c>
      <c r="W42" s="3"/>
      <c r="X42" s="8">
        <f t="shared" si="22"/>
        <v>40</v>
      </c>
      <c r="Y42" s="3"/>
      <c r="Z42" s="7">
        <f t="shared" si="23"/>
        <v>2.4169184290030211E-2</v>
      </c>
    </row>
    <row r="43" spans="1:26" s="29" customFormat="1" outlineLevel="1" collapsed="1" x14ac:dyDescent="0.3">
      <c r="A43" s="28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SUM(OSRRefD22_6x_0)</f>
        <v>3624.93</v>
      </c>
      <c r="E43" s="1"/>
      <c r="F43" s="5">
        <f t="shared" ref="F43:F51" si="24">IF(D$12=0,0,D43/D$12)</f>
        <v>0</v>
      </c>
      <c r="G43" s="1"/>
      <c r="H43" s="1">
        <f>SUM(OSRRefH22_6x_0)</f>
        <v>4472.25</v>
      </c>
      <c r="I43" s="1"/>
      <c r="J43" s="5">
        <f t="shared" ref="J43:J51" si="25">IF(H$12=0,0,H43/H$12)</f>
        <v>0</v>
      </c>
      <c r="K43" s="1"/>
      <c r="L43" s="1">
        <f t="shared" ref="L43:L51" si="26">+D43-H43</f>
        <v>-847.32000000000016</v>
      </c>
      <c r="M43" s="1"/>
      <c r="N43" s="5">
        <f t="shared" ref="N43:N51" si="27">IF(H43=0,0,L43/H43)</f>
        <v>-0.18946168036223382</v>
      </c>
      <c r="O43" s="14"/>
      <c r="P43" s="1">
        <f>SUM(OSRRefP22_6x_0)</f>
        <v>3624.93</v>
      </c>
      <c r="Q43" s="1"/>
      <c r="R43" s="5">
        <f t="shared" ref="R43:R51" si="28">IF(P$12=0,0,P43/P$12)</f>
        <v>0</v>
      </c>
      <c r="S43" s="1"/>
      <c r="T43" s="1">
        <f>SUM(OSRRefT22_6x_0)</f>
        <v>4472.25</v>
      </c>
      <c r="U43" s="1"/>
      <c r="V43" s="5">
        <f t="shared" ref="V43:V51" si="29">IF(T$12=0,0,T43/T$12)</f>
        <v>0</v>
      </c>
      <c r="W43" s="1"/>
      <c r="X43" s="1">
        <f t="shared" ref="X43:X51" si="30">+P43-T43</f>
        <v>-847.32000000000016</v>
      </c>
      <c r="Y43" s="1"/>
      <c r="Z43" s="5">
        <f t="shared" ref="Z43:Z51" si="31">IF(T43=0,0,X43/T43)</f>
        <v>-0.18946168036223382</v>
      </c>
    </row>
    <row r="44" spans="1:26" s="24" customFormat="1" hidden="1" outlineLevel="2" x14ac:dyDescent="0.3">
      <c r="A44" s="27"/>
      <c r="B44" s="12" t="str">
        <f>CONCATENATE("          ", "6371", " - ", "COMPUTER SOFTWARE MAINTENANCE")</f>
        <v xml:space="preserve">          6371 - COMPUTER SOFTWARE MAINTENANCE</v>
      </c>
      <c r="C44" s="12"/>
      <c r="D44" s="8">
        <v>3624.93</v>
      </c>
      <c r="E44" s="3"/>
      <c r="F44" s="7">
        <f t="shared" si="24"/>
        <v>0</v>
      </c>
      <c r="G44" s="3"/>
      <c r="H44" s="8">
        <v>4472.25</v>
      </c>
      <c r="I44" s="3"/>
      <c r="J44" s="7">
        <f t="shared" si="25"/>
        <v>0</v>
      </c>
      <c r="K44" s="3"/>
      <c r="L44" s="8">
        <f t="shared" si="26"/>
        <v>-847.32000000000016</v>
      </c>
      <c r="M44" s="3"/>
      <c r="N44" s="7">
        <f t="shared" si="27"/>
        <v>-0.18946168036223382</v>
      </c>
      <c r="O44" s="12"/>
      <c r="P44" s="8">
        <v>3624.93</v>
      </c>
      <c r="Q44" s="3"/>
      <c r="R44" s="7">
        <f t="shared" si="28"/>
        <v>0</v>
      </c>
      <c r="S44" s="3"/>
      <c r="T44" s="8">
        <v>4472.25</v>
      </c>
      <c r="U44" s="3"/>
      <c r="V44" s="7">
        <f t="shared" si="29"/>
        <v>0</v>
      </c>
      <c r="W44" s="3"/>
      <c r="X44" s="8">
        <f t="shared" si="30"/>
        <v>-847.32000000000016</v>
      </c>
      <c r="Y44" s="3"/>
      <c r="Z44" s="7">
        <f t="shared" si="31"/>
        <v>-0.18946168036223382</v>
      </c>
    </row>
    <row r="45" spans="1:26" s="29" customFormat="1" outlineLevel="1" collapsed="1" x14ac:dyDescent="0.3">
      <c r="A45" s="28"/>
      <c r="B45" s="14" t="str">
        <f>CONCATENATE("     ","Subscriptions &amp; Dues                              ")</f>
        <v xml:space="preserve">     Subscriptions &amp; Dues                              </v>
      </c>
      <c r="C45" s="14"/>
      <c r="D45" s="1">
        <f>SUM(OSRRefD22_7x_0)</f>
        <v>219</v>
      </c>
      <c r="E45" s="1"/>
      <c r="F45" s="5">
        <f t="shared" si="24"/>
        <v>0</v>
      </c>
      <c r="G45" s="1"/>
      <c r="H45" s="1">
        <f>SUM(OSRRefH22_7x_0)</f>
        <v>0</v>
      </c>
      <c r="I45" s="1"/>
      <c r="J45" s="5">
        <f t="shared" si="25"/>
        <v>0</v>
      </c>
      <c r="K45" s="1"/>
      <c r="L45" s="1">
        <f t="shared" si="26"/>
        <v>219</v>
      </c>
      <c r="M45" s="1"/>
      <c r="N45" s="5">
        <f t="shared" si="27"/>
        <v>0</v>
      </c>
      <c r="O45" s="14"/>
      <c r="P45" s="1">
        <f>SUM(OSRRefP22_7x_0)</f>
        <v>219</v>
      </c>
      <c r="Q45" s="1"/>
      <c r="R45" s="5">
        <f t="shared" si="28"/>
        <v>0</v>
      </c>
      <c r="S45" s="1"/>
      <c r="T45" s="1">
        <f>SUM(OSRRefT22_7x_0)</f>
        <v>0</v>
      </c>
      <c r="U45" s="1"/>
      <c r="V45" s="5">
        <f t="shared" si="29"/>
        <v>0</v>
      </c>
      <c r="W45" s="1"/>
      <c r="X45" s="1">
        <f t="shared" si="30"/>
        <v>219</v>
      </c>
      <c r="Y45" s="1"/>
      <c r="Z45" s="5">
        <f t="shared" si="31"/>
        <v>0</v>
      </c>
    </row>
    <row r="46" spans="1:26" s="24" customFormat="1" hidden="1" outlineLevel="2" x14ac:dyDescent="0.3">
      <c r="A46" s="27"/>
      <c r="B46" s="12" t="str">
        <f>CONCATENATE("          ", "6258", " - ", "MEMBERSHIP DUES")</f>
        <v xml:space="preserve">          6258 - MEMBERSHIP DUES</v>
      </c>
      <c r="C46" s="12"/>
      <c r="D46" s="8">
        <v>219</v>
      </c>
      <c r="E46" s="3"/>
      <c r="F46" s="7">
        <f t="shared" si="24"/>
        <v>0</v>
      </c>
      <c r="G46" s="3"/>
      <c r="H46" s="8"/>
      <c r="I46" s="3"/>
      <c r="J46" s="7">
        <f t="shared" si="25"/>
        <v>0</v>
      </c>
      <c r="K46" s="3"/>
      <c r="L46" s="8">
        <f t="shared" si="26"/>
        <v>219</v>
      </c>
      <c r="M46" s="3"/>
      <c r="N46" s="7">
        <f t="shared" si="27"/>
        <v>0</v>
      </c>
      <c r="O46" s="12"/>
      <c r="P46" s="8">
        <v>219</v>
      </c>
      <c r="Q46" s="3"/>
      <c r="R46" s="7">
        <f t="shared" si="28"/>
        <v>0</v>
      </c>
      <c r="S46" s="3"/>
      <c r="T46" s="8"/>
      <c r="U46" s="3"/>
      <c r="V46" s="7">
        <f t="shared" si="29"/>
        <v>0</v>
      </c>
      <c r="W46" s="3"/>
      <c r="X46" s="8">
        <f t="shared" si="30"/>
        <v>219</v>
      </c>
      <c r="Y46" s="3"/>
      <c r="Z46" s="7">
        <f t="shared" si="31"/>
        <v>0</v>
      </c>
    </row>
    <row r="47" spans="1:26" s="29" customFormat="1" outlineLevel="1" collapsed="1" x14ac:dyDescent="0.3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2798.89</v>
      </c>
      <c r="E47" s="1"/>
      <c r="F47" s="5">
        <f t="shared" si="24"/>
        <v>0</v>
      </c>
      <c r="G47" s="1"/>
      <c r="H47" s="1">
        <f>SUM(OSRRefH22_8x_0)</f>
        <v>560.29999999999995</v>
      </c>
      <c r="I47" s="1"/>
      <c r="J47" s="5">
        <f t="shared" si="25"/>
        <v>0</v>
      </c>
      <c r="K47" s="1"/>
      <c r="L47" s="1">
        <f t="shared" si="26"/>
        <v>2238.59</v>
      </c>
      <c r="M47" s="1"/>
      <c r="N47" s="5">
        <f t="shared" si="27"/>
        <v>3.9953417811886496</v>
      </c>
      <c r="O47" s="14"/>
      <c r="P47" s="1">
        <f>SUM(OSRRefP22_8x_0)</f>
        <v>2798.89</v>
      </c>
      <c r="Q47" s="1"/>
      <c r="R47" s="5">
        <f t="shared" si="28"/>
        <v>0</v>
      </c>
      <c r="S47" s="1"/>
      <c r="T47" s="1">
        <f>SUM(OSRRefT22_8x_0)</f>
        <v>560.29999999999995</v>
      </c>
      <c r="U47" s="1"/>
      <c r="V47" s="5">
        <f t="shared" si="29"/>
        <v>0</v>
      </c>
      <c r="W47" s="1"/>
      <c r="X47" s="1">
        <f t="shared" si="30"/>
        <v>2238.59</v>
      </c>
      <c r="Y47" s="1"/>
      <c r="Z47" s="5">
        <f t="shared" si="31"/>
        <v>3.9953417811886496</v>
      </c>
    </row>
    <row r="48" spans="1:26" s="24" customFormat="1" hidden="1" outlineLevel="2" x14ac:dyDescent="0.3">
      <c r="A48" s="27"/>
      <c r="B48" s="12" t="str">
        <f>CONCATENATE("          ", "6235", " - ", "COVID-19 EXPENSES")</f>
        <v xml:space="preserve">          6235 - COVID-19 EXPENSES</v>
      </c>
      <c r="C48" s="12"/>
      <c r="D48" s="8">
        <v>2447.77</v>
      </c>
      <c r="E48" s="3"/>
      <c r="F48" s="7">
        <f t="shared" si="24"/>
        <v>0</v>
      </c>
      <c r="G48" s="3"/>
      <c r="H48" s="8">
        <v>210.58</v>
      </c>
      <c r="I48" s="3"/>
      <c r="J48" s="7">
        <f t="shared" si="25"/>
        <v>0</v>
      </c>
      <c r="K48" s="3"/>
      <c r="L48" s="8">
        <f t="shared" si="26"/>
        <v>2237.19</v>
      </c>
      <c r="M48" s="3"/>
      <c r="N48" s="7">
        <f t="shared" si="27"/>
        <v>10.623943394434418</v>
      </c>
      <c r="O48" s="12"/>
      <c r="P48" s="8">
        <v>2447.77</v>
      </c>
      <c r="Q48" s="3"/>
      <c r="R48" s="7">
        <f t="shared" si="28"/>
        <v>0</v>
      </c>
      <c r="S48" s="3"/>
      <c r="T48" s="8">
        <v>210.58</v>
      </c>
      <c r="U48" s="3"/>
      <c r="V48" s="7">
        <f t="shared" si="29"/>
        <v>0</v>
      </c>
      <c r="W48" s="3"/>
      <c r="X48" s="8">
        <f t="shared" si="30"/>
        <v>2237.19</v>
      </c>
      <c r="Y48" s="3"/>
      <c r="Z48" s="7">
        <f t="shared" si="31"/>
        <v>10.623943394434418</v>
      </c>
    </row>
    <row r="49" spans="1:26" s="24" customFormat="1" hidden="1" outlineLevel="2" x14ac:dyDescent="0.3">
      <c r="A49" s="27"/>
      <c r="B49" s="12" t="str">
        <f>CONCATENATE("          ", "6241", " - ", "OFFICE EXPENSE")</f>
        <v xml:space="preserve">          6241 - OFFICE EXPENSE</v>
      </c>
      <c r="C49" s="12"/>
      <c r="D49" s="8">
        <v>176.12</v>
      </c>
      <c r="E49" s="3"/>
      <c r="F49" s="7">
        <f t="shared" si="24"/>
        <v>0</v>
      </c>
      <c r="G49" s="3"/>
      <c r="H49" s="8">
        <v>248.05</v>
      </c>
      <c r="I49" s="3"/>
      <c r="J49" s="7">
        <f t="shared" si="25"/>
        <v>0</v>
      </c>
      <c r="K49" s="3"/>
      <c r="L49" s="8">
        <f t="shared" si="26"/>
        <v>-71.930000000000007</v>
      </c>
      <c r="M49" s="3"/>
      <c r="N49" s="7">
        <f t="shared" si="27"/>
        <v>-0.28998185849627095</v>
      </c>
      <c r="O49" s="12"/>
      <c r="P49" s="8">
        <v>176.12</v>
      </c>
      <c r="Q49" s="3"/>
      <c r="R49" s="7">
        <f t="shared" si="28"/>
        <v>0</v>
      </c>
      <c r="S49" s="3"/>
      <c r="T49" s="8">
        <v>248.05</v>
      </c>
      <c r="U49" s="3"/>
      <c r="V49" s="7">
        <f t="shared" si="29"/>
        <v>0</v>
      </c>
      <c r="W49" s="3"/>
      <c r="X49" s="8">
        <f t="shared" si="30"/>
        <v>-71.930000000000007</v>
      </c>
      <c r="Y49" s="3"/>
      <c r="Z49" s="7">
        <f t="shared" si="31"/>
        <v>-0.28998185849627095</v>
      </c>
    </row>
    <row r="50" spans="1:26" s="24" customFormat="1" hidden="1" outlineLevel="2" x14ac:dyDescent="0.3">
      <c r="A50" s="27"/>
      <c r="B50" s="12" t="str">
        <f>CONCATENATE("          ", "6244", " - ", "SAFETY SUPPLY EXPENSE")</f>
        <v xml:space="preserve">          6244 - SAFETY SUPPLY EXPENSE</v>
      </c>
      <c r="C50" s="12"/>
      <c r="D50" s="8">
        <v>175</v>
      </c>
      <c r="E50" s="3"/>
      <c r="F50" s="7">
        <f t="shared" si="24"/>
        <v>0</v>
      </c>
      <c r="G50" s="3"/>
      <c r="H50" s="8">
        <v>101.67</v>
      </c>
      <c r="I50" s="3"/>
      <c r="J50" s="7">
        <f t="shared" si="25"/>
        <v>0</v>
      </c>
      <c r="K50" s="3"/>
      <c r="L50" s="8">
        <f t="shared" si="26"/>
        <v>73.33</v>
      </c>
      <c r="M50" s="3"/>
      <c r="N50" s="7">
        <f t="shared" si="27"/>
        <v>0.7212550408183338</v>
      </c>
      <c r="O50" s="12"/>
      <c r="P50" s="8">
        <v>175</v>
      </c>
      <c r="Q50" s="3"/>
      <c r="R50" s="7">
        <f t="shared" si="28"/>
        <v>0</v>
      </c>
      <c r="S50" s="3"/>
      <c r="T50" s="8">
        <v>101.67</v>
      </c>
      <c r="U50" s="3"/>
      <c r="V50" s="7">
        <f t="shared" si="29"/>
        <v>0</v>
      </c>
      <c r="W50" s="3"/>
      <c r="X50" s="8">
        <f t="shared" si="30"/>
        <v>73.33</v>
      </c>
      <c r="Y50" s="3"/>
      <c r="Z50" s="7">
        <f t="shared" si="31"/>
        <v>0.7212550408183338</v>
      </c>
    </row>
    <row r="51" spans="1:26" s="24" customFormat="1" hidden="1" outlineLevel="2" x14ac:dyDescent="0.3">
      <c r="A51" s="27"/>
      <c r="B51" s="12" t="str">
        <f>CONCATENATE("          ", "6248", " - ", "UNIFORMS")</f>
        <v xml:space="preserve">          6248 - UNIFORMS</v>
      </c>
      <c r="C51" s="12"/>
      <c r="D51" s="8">
        <v>0</v>
      </c>
      <c r="E51" s="3"/>
      <c r="F51" s="7">
        <f t="shared" si="24"/>
        <v>0</v>
      </c>
      <c r="G51" s="3"/>
      <c r="H51" s="8"/>
      <c r="I51" s="3"/>
      <c r="J51" s="7">
        <f t="shared" si="25"/>
        <v>0</v>
      </c>
      <c r="K51" s="3"/>
      <c r="L51" s="8">
        <f t="shared" si="26"/>
        <v>0</v>
      </c>
      <c r="M51" s="3"/>
      <c r="N51" s="7">
        <f t="shared" si="27"/>
        <v>0</v>
      </c>
      <c r="O51" s="12"/>
      <c r="P51" s="8">
        <v>0</v>
      </c>
      <c r="Q51" s="3"/>
      <c r="R51" s="7">
        <f t="shared" si="28"/>
        <v>0</v>
      </c>
      <c r="S51" s="3"/>
      <c r="T51" s="8"/>
      <c r="U51" s="3"/>
      <c r="V51" s="7">
        <f t="shared" si="29"/>
        <v>0</v>
      </c>
      <c r="W51" s="3"/>
      <c r="X51" s="8">
        <f t="shared" si="30"/>
        <v>0</v>
      </c>
      <c r="Y51" s="3"/>
      <c r="Z51" s="7">
        <f t="shared" si="31"/>
        <v>0</v>
      </c>
    </row>
    <row r="52" spans="1:26" s="29" customFormat="1" outlineLevel="1" collapsed="1" x14ac:dyDescent="0.3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SUM(OSRRefD22_9x_0)</f>
        <v>342.3</v>
      </c>
      <c r="E52" s="1"/>
      <c r="F52" s="5">
        <f t="shared" ref="F52:F53" si="32">IF(D$12=0,0,D52/D$12)</f>
        <v>0</v>
      </c>
      <c r="G52" s="1"/>
      <c r="H52" s="1">
        <f>SUM(OSRRefH22_9x_0)</f>
        <v>324.2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18.100000000000023</v>
      </c>
      <c r="M52" s="1"/>
      <c r="N52" s="5">
        <f t="shared" ref="N52:N53" si="35">IF(H52=0,0,L52/H52)</f>
        <v>5.58297347316472E-2</v>
      </c>
      <c r="O52" s="14"/>
      <c r="P52" s="1">
        <f>SUM(OSRRefP22_9x_0)</f>
        <v>342.3</v>
      </c>
      <c r="Q52" s="1"/>
      <c r="R52" s="5">
        <f t="shared" ref="R52:R53" si="36">IF(P$12=0,0,P52/P$12)</f>
        <v>0</v>
      </c>
      <c r="S52" s="1"/>
      <c r="T52" s="1">
        <f>SUM(OSRRefT22_9x_0)</f>
        <v>324.2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18.100000000000023</v>
      </c>
      <c r="Y52" s="1"/>
      <c r="Z52" s="5">
        <f t="shared" ref="Z52:Z53" si="39">IF(T52=0,0,X52/T52)</f>
        <v>5.58297347316472E-2</v>
      </c>
    </row>
    <row r="53" spans="1:26" s="24" customFormat="1" hidden="1" outlineLevel="2" x14ac:dyDescent="0.3">
      <c r="A53" s="27"/>
      <c r="B53" s="12" t="str">
        <f>CONCATENATE("          ", "6309", " - ", "TELEPHONE")</f>
        <v xml:space="preserve">          6309 - TELEPHONE</v>
      </c>
      <c r="C53" s="12"/>
      <c r="D53" s="8">
        <v>342.3</v>
      </c>
      <c r="E53" s="3"/>
      <c r="F53" s="7">
        <f t="shared" si="32"/>
        <v>0</v>
      </c>
      <c r="G53" s="3"/>
      <c r="H53" s="8">
        <v>324.2</v>
      </c>
      <c r="I53" s="3"/>
      <c r="J53" s="7">
        <f t="shared" si="33"/>
        <v>0</v>
      </c>
      <c r="K53" s="3"/>
      <c r="L53" s="8">
        <f t="shared" si="34"/>
        <v>18.100000000000023</v>
      </c>
      <c r="M53" s="3"/>
      <c r="N53" s="7">
        <f t="shared" si="35"/>
        <v>5.58297347316472E-2</v>
      </c>
      <c r="O53" s="12"/>
      <c r="P53" s="8">
        <v>342.3</v>
      </c>
      <c r="Q53" s="3"/>
      <c r="R53" s="7">
        <f t="shared" si="36"/>
        <v>0</v>
      </c>
      <c r="S53" s="3"/>
      <c r="T53" s="8">
        <v>324.2</v>
      </c>
      <c r="U53" s="3"/>
      <c r="V53" s="7">
        <f t="shared" si="37"/>
        <v>0</v>
      </c>
      <c r="W53" s="3"/>
      <c r="X53" s="8">
        <f t="shared" si="38"/>
        <v>18.100000000000023</v>
      </c>
      <c r="Y53" s="3"/>
      <c r="Z53" s="7">
        <f t="shared" si="39"/>
        <v>5.58297347316472E-2</v>
      </c>
    </row>
    <row r="54" spans="1:26" s="53" customFormat="1" x14ac:dyDescent="0.3">
      <c r="A54" s="37"/>
      <c r="B54" s="37"/>
      <c r="C54" s="37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292</v>
      </c>
      <c r="C55" s="10"/>
      <c r="D55" s="4">
        <f>SUM(0)</f>
        <v>0</v>
      </c>
      <c r="E55" s="4"/>
      <c r="F55" s="11">
        <f>IF(D$12=0,0,D55/D$12)</f>
        <v>0</v>
      </c>
      <c r="G55" s="4"/>
      <c r="H55" s="4">
        <f>SUM(0)</f>
        <v>0</v>
      </c>
      <c r="I55" s="4"/>
      <c r="J55" s="11">
        <f>IF(H$12=0,0,H55/H$12)</f>
        <v>0</v>
      </c>
      <c r="K55" s="4"/>
      <c r="L55" s="4">
        <f>+D55-H55</f>
        <v>0</v>
      </c>
      <c r="M55" s="4"/>
      <c r="N55" s="11">
        <f>IF(H55=0,0,L55/H55)</f>
        <v>0</v>
      </c>
      <c r="O55" s="10"/>
      <c r="P55" s="4">
        <f>SUM(0)</f>
        <v>0</v>
      </c>
      <c r="Q55" s="4"/>
      <c r="R55" s="11">
        <f>IF(P$12=0,0,P55/P$12)</f>
        <v>0</v>
      </c>
      <c r="S55" s="4"/>
      <c r="T55" s="4">
        <f>SUM(0)</f>
        <v>0</v>
      </c>
      <c r="U55" s="4"/>
      <c r="V55" s="11">
        <f>IF(T$12=0,0,T55/T$12)</f>
        <v>0</v>
      </c>
      <c r="W55" s="4"/>
      <c r="X55" s="4">
        <f>+P55-T55</f>
        <v>0</v>
      </c>
      <c r="Y55" s="4"/>
      <c r="Z55" s="11">
        <f>IF(T55=0,0,X55/T55)</f>
        <v>0</v>
      </c>
    </row>
    <row r="56" spans="1:26" x14ac:dyDescent="0.3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x14ac:dyDescent="0.3">
      <c r="A57" s="10"/>
      <c r="B57" s="26" t="s">
        <v>276</v>
      </c>
      <c r="C57" s="26"/>
      <c r="D57" s="20">
        <f>+D16-D18+D55</f>
        <v>-58630.38</v>
      </c>
      <c r="E57" s="13"/>
      <c r="F57" s="21">
        <f>IF(D$12=0,0,D57/D$12)</f>
        <v>0</v>
      </c>
      <c r="G57" s="13"/>
      <c r="H57" s="20">
        <f>+H16-H18+H55</f>
        <v>-51043.509999999995</v>
      </c>
      <c r="I57" s="13"/>
      <c r="J57" s="21">
        <f>IF(H$12=0,0,H57/H$12)</f>
        <v>0</v>
      </c>
      <c r="K57" s="16"/>
      <c r="L57" s="20">
        <f>+D57-H57</f>
        <v>-7586.8700000000026</v>
      </c>
      <c r="M57" s="16"/>
      <c r="N57" s="21">
        <f>IF(H57=0,0,L57/H57)</f>
        <v>0.14863535050783153</v>
      </c>
      <c r="O57" s="25"/>
      <c r="P57" s="20">
        <f>+P16-P18+P55</f>
        <v>-58630.38</v>
      </c>
      <c r="Q57" s="13"/>
      <c r="R57" s="21">
        <f>IF(P$12=0,0,P57/P$12)</f>
        <v>0</v>
      </c>
      <c r="S57" s="13"/>
      <c r="T57" s="20">
        <f>+T16-T18+T55</f>
        <v>-51043.509999999995</v>
      </c>
      <c r="U57" s="13"/>
      <c r="V57" s="21">
        <f>IF(T$12=0,0,T57/T$12)</f>
        <v>0</v>
      </c>
      <c r="W57" s="16"/>
      <c r="X57" s="20">
        <f>+P57-T57</f>
        <v>-7586.8700000000026</v>
      </c>
      <c r="Y57" s="16"/>
      <c r="Z57" s="21">
        <f>IF(T57=0,0,X57/T57)</f>
        <v>0.14863535050783153</v>
      </c>
    </row>
    <row r="58" spans="1:26" x14ac:dyDescent="0.3">
      <c r="A58" s="9"/>
      <c r="B58" s="10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x14ac:dyDescent="0.3">
      <c r="A59" s="51"/>
      <c r="B59" s="10" t="s">
        <v>127</v>
      </c>
      <c r="C59" s="10"/>
      <c r="D59" s="4"/>
      <c r="E59" s="4"/>
      <c r="F59" s="11">
        <f>IF(D$12=0,0,D59/D$12)</f>
        <v>0</v>
      </c>
      <c r="G59" s="4"/>
      <c r="H59" s="4"/>
      <c r="I59" s="4"/>
      <c r="J59" s="11">
        <f>IF(H$12=0,0,H59/H$12)</f>
        <v>0</v>
      </c>
      <c r="K59" s="4"/>
      <c r="L59" s="4">
        <f>+D59-H59</f>
        <v>0</v>
      </c>
      <c r="M59" s="4"/>
      <c r="N59" s="11">
        <f>IF(H59=0,0,L59/H59)</f>
        <v>0</v>
      </c>
      <c r="O59" s="10"/>
      <c r="P59" s="4"/>
      <c r="Q59" s="4"/>
      <c r="R59" s="11">
        <f>IF(P$12=0,0,P59/P$12)</f>
        <v>0</v>
      </c>
      <c r="S59" s="4"/>
      <c r="T59" s="4"/>
      <c r="U59" s="4"/>
      <c r="V59" s="11">
        <f>IF(T$12=0,0,T59/T$12)</f>
        <v>0</v>
      </c>
      <c r="W59" s="4"/>
      <c r="X59" s="4">
        <f>+P59-T59</f>
        <v>0</v>
      </c>
      <c r="Y59" s="4"/>
      <c r="Z59" s="11">
        <f>IF(T59=0,0,X59/T59)</f>
        <v>0</v>
      </c>
    </row>
    <row r="60" spans="1:26" x14ac:dyDescent="0.3">
      <c r="A60" s="9"/>
      <c r="B60" s="10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10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ht="15" thickBot="1" x14ac:dyDescent="0.35">
      <c r="A61" s="10"/>
      <c r="B61" s="26" t="s">
        <v>125</v>
      </c>
      <c r="C61" s="26"/>
      <c r="D61" s="36">
        <f>+D57-D59</f>
        <v>-58630.38</v>
      </c>
      <c r="E61" s="13"/>
      <c r="F61" s="34">
        <f>IF(D$12=0,0,D61/D$12)</f>
        <v>0</v>
      </c>
      <c r="G61" s="13"/>
      <c r="H61" s="36">
        <f>+H57-H59</f>
        <v>-51043.509999999995</v>
      </c>
      <c r="I61" s="13"/>
      <c r="J61" s="34">
        <f>IF(H$12=0,0,H61/H$12)</f>
        <v>0</v>
      </c>
      <c r="K61" s="16"/>
      <c r="L61" s="36">
        <f>D61-H61</f>
        <v>-7586.8700000000026</v>
      </c>
      <c r="M61" s="16"/>
      <c r="N61" s="34">
        <f>IF(H61=0,0,L61/H61)</f>
        <v>0.14863535050783153</v>
      </c>
      <c r="O61" s="25"/>
      <c r="P61" s="36">
        <f>+P57-P59</f>
        <v>-58630.38</v>
      </c>
      <c r="Q61" s="13"/>
      <c r="R61" s="34">
        <f>IF(P$12=0,0,P61/P$12)</f>
        <v>0</v>
      </c>
      <c r="S61" s="13"/>
      <c r="T61" s="36">
        <f>+T57-T59</f>
        <v>-51043.509999999995</v>
      </c>
      <c r="U61" s="13"/>
      <c r="V61" s="34">
        <f>IF(T$12=0,0,T61/T$12)</f>
        <v>0</v>
      </c>
      <c r="W61" s="16"/>
      <c r="X61" s="36">
        <f>P61-T61</f>
        <v>-7586.8700000000026</v>
      </c>
      <c r="Y61" s="16"/>
      <c r="Z61" s="34">
        <f>IF(T61=0,0,X61/T61)</f>
        <v>0.14863535050783153</v>
      </c>
    </row>
    <row r="62" spans="1:26" ht="15" thickTop="1" x14ac:dyDescent="0.3">
      <c r="A62" s="9"/>
      <c r="B62" s="9"/>
      <c r="C62" s="9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x14ac:dyDescent="0.3">
      <c r="A63" s="9"/>
      <c r="B63" s="9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ht="15" thickBot="1" x14ac:dyDescent="0.35">
      <c r="A64" s="10"/>
      <c r="B64" s="26" t="s">
        <v>293</v>
      </c>
      <c r="C64" s="26"/>
      <c r="D64" s="31">
        <f>SUM(D61:D63)</f>
        <v>-58630.38</v>
      </c>
      <c r="E64" s="13"/>
      <c r="F64" s="33">
        <f>IF(D$12=0,0,D64/D$12)</f>
        <v>0</v>
      </c>
      <c r="G64" s="13"/>
      <c r="H64" s="31">
        <f>SUM(H61:H63)</f>
        <v>-51043.509999999995</v>
      </c>
      <c r="I64" s="13"/>
      <c r="J64" s="33">
        <f>IF(H$12=0,0,H64/H$12)</f>
        <v>0</v>
      </c>
      <c r="K64" s="16"/>
      <c r="L64" s="31">
        <f>+D64-H64</f>
        <v>-7586.8700000000026</v>
      </c>
      <c r="M64" s="16"/>
      <c r="N64" s="33">
        <f>IF(H64=0,0,L64/H64)</f>
        <v>0.14863535050783153</v>
      </c>
      <c r="O64" s="25"/>
      <c r="P64" s="31">
        <f>SUM(P61:P63)</f>
        <v>-58630.38</v>
      </c>
      <c r="Q64" s="13"/>
      <c r="R64" s="33">
        <f>IF(P$12=0,0,P64/P$12)</f>
        <v>0</v>
      </c>
      <c r="S64" s="13"/>
      <c r="T64" s="31">
        <f>SUM(T61:T63)</f>
        <v>-51043.509999999995</v>
      </c>
      <c r="U64" s="13"/>
      <c r="V64" s="33">
        <f>IF(T$12=0,0,T64/T$12)</f>
        <v>0</v>
      </c>
      <c r="W64" s="16"/>
      <c r="X64" s="31">
        <f>+P64-T64</f>
        <v>-7586.8700000000026</v>
      </c>
      <c r="Y64" s="16"/>
      <c r="Z64" s="33">
        <f>IF(T64=0,0,X64/T64)</f>
        <v>0.14863535050783153</v>
      </c>
    </row>
    <row r="65" spans="1:24" ht="15" thickTop="1" x14ac:dyDescent="0.3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3">
      <c r="A66" s="9"/>
      <c r="B66" s="59">
        <v>44462.666945868055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3">
      <c r="A67" s="9"/>
      <c r="B67" s="57" t="s">
        <v>56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3">
      <c r="A68" s="9"/>
      <c r="B68" s="61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3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47853.990000000005</v>
      </c>
      <c r="E18" s="19"/>
      <c r="F18" s="35">
        <f t="shared" ref="F18:F28" si="0">IF(D$12=0,0,D18/D$12)</f>
        <v>0</v>
      </c>
      <c r="G18" s="19"/>
      <c r="H18" s="19">
        <f>SUM(OSRRefH22x_0)</f>
        <v>56908.759999999995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-9054.7699999999895</v>
      </c>
      <c r="M18" s="4"/>
      <c r="N18" s="35">
        <f t="shared" ref="N18:N28" si="3">IF(H18=0,0,L18/H18)</f>
        <v>-0.15911030217491984</v>
      </c>
      <c r="O18" s="10"/>
      <c r="P18" s="19">
        <f>SUM(OSRRefP22x_0)</f>
        <v>47853.990000000005</v>
      </c>
      <c r="Q18" s="19"/>
      <c r="R18" s="35">
        <f t="shared" ref="R18:R28" si="4">IF(P$12=0,0,P18/P$12)</f>
        <v>0</v>
      </c>
      <c r="S18" s="19"/>
      <c r="T18" s="19">
        <f>SUM(OSRRefT22x_0)</f>
        <v>56908.759999999995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-9054.7699999999895</v>
      </c>
      <c r="Y18" s="4"/>
      <c r="Z18" s="35">
        <f t="shared" ref="Z18:Z28" si="7">IF(T18=0,0,X18/T18)</f>
        <v>-0.15911030217491984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10721.180000000002</v>
      </c>
      <c r="E19" s="1"/>
      <c r="F19" s="5">
        <f t="shared" si="0"/>
        <v>0</v>
      </c>
      <c r="G19" s="1"/>
      <c r="H19" s="1">
        <f>SUM(OSRRefH22_0x_0)</f>
        <v>13050.55</v>
      </c>
      <c r="I19" s="1"/>
      <c r="J19" s="5">
        <f t="shared" si="1"/>
        <v>0</v>
      </c>
      <c r="K19" s="1"/>
      <c r="L19" s="1">
        <f t="shared" si="2"/>
        <v>-2329.3699999999972</v>
      </c>
      <c r="M19" s="1"/>
      <c r="N19" s="5">
        <f t="shared" si="3"/>
        <v>-0.17848826294677214</v>
      </c>
      <c r="O19" s="14"/>
      <c r="P19" s="1">
        <f>SUM(OSRRefP22_0x_0)</f>
        <v>10721.180000000002</v>
      </c>
      <c r="Q19" s="1"/>
      <c r="R19" s="5">
        <f t="shared" si="4"/>
        <v>0</v>
      </c>
      <c r="S19" s="1"/>
      <c r="T19" s="1">
        <f>SUM(OSRRefT22_0x_0)</f>
        <v>13050.55</v>
      </c>
      <c r="U19" s="1"/>
      <c r="V19" s="5">
        <f t="shared" si="5"/>
        <v>0</v>
      </c>
      <c r="W19" s="1"/>
      <c r="X19" s="1">
        <f t="shared" si="6"/>
        <v>-2329.3699999999972</v>
      </c>
      <c r="Y19" s="1"/>
      <c r="Z19" s="5">
        <f t="shared" si="7"/>
        <v>-0.17848826294677214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1399.92</v>
      </c>
      <c r="E20" s="3"/>
      <c r="F20" s="7">
        <f t="shared" si="0"/>
        <v>0</v>
      </c>
      <c r="G20" s="3"/>
      <c r="H20" s="8">
        <v>1654.1</v>
      </c>
      <c r="I20" s="3"/>
      <c r="J20" s="7">
        <f t="shared" si="1"/>
        <v>0</v>
      </c>
      <c r="K20" s="3"/>
      <c r="L20" s="8">
        <f t="shared" si="2"/>
        <v>-254.17999999999984</v>
      </c>
      <c r="M20" s="3"/>
      <c r="N20" s="7">
        <f t="shared" si="3"/>
        <v>-0.15366664651472089</v>
      </c>
      <c r="O20" s="12"/>
      <c r="P20" s="8">
        <v>1399.92</v>
      </c>
      <c r="Q20" s="3"/>
      <c r="R20" s="7">
        <f t="shared" si="4"/>
        <v>0</v>
      </c>
      <c r="S20" s="3"/>
      <c r="T20" s="8">
        <v>1654.1</v>
      </c>
      <c r="U20" s="3"/>
      <c r="V20" s="7">
        <f t="shared" si="5"/>
        <v>0</v>
      </c>
      <c r="W20" s="3"/>
      <c r="X20" s="8">
        <f t="shared" si="6"/>
        <v>-254.17999999999984</v>
      </c>
      <c r="Y20" s="3"/>
      <c r="Z20" s="7">
        <f t="shared" si="7"/>
        <v>-0.15366664651472089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236.07</v>
      </c>
      <c r="E21" s="3"/>
      <c r="F21" s="7">
        <f t="shared" si="0"/>
        <v>0</v>
      </c>
      <c r="G21" s="3"/>
      <c r="H21" s="8">
        <v>71.349999999999994</v>
      </c>
      <c r="I21" s="3"/>
      <c r="J21" s="7">
        <f t="shared" si="1"/>
        <v>0</v>
      </c>
      <c r="K21" s="3"/>
      <c r="L21" s="8">
        <f t="shared" si="2"/>
        <v>164.72</v>
      </c>
      <c r="M21" s="3"/>
      <c r="N21" s="7">
        <f t="shared" si="3"/>
        <v>2.3086194814295729</v>
      </c>
      <c r="O21" s="12"/>
      <c r="P21" s="8">
        <v>236.07</v>
      </c>
      <c r="Q21" s="3"/>
      <c r="R21" s="7">
        <f t="shared" si="4"/>
        <v>0</v>
      </c>
      <c r="S21" s="3"/>
      <c r="T21" s="8">
        <v>71.349999999999994</v>
      </c>
      <c r="U21" s="3"/>
      <c r="V21" s="7">
        <f t="shared" si="5"/>
        <v>0</v>
      </c>
      <c r="W21" s="3"/>
      <c r="X21" s="8">
        <f t="shared" si="6"/>
        <v>164.72</v>
      </c>
      <c r="Y21" s="3"/>
      <c r="Z21" s="7">
        <f t="shared" si="7"/>
        <v>2.3086194814295729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4833.2700000000004</v>
      </c>
      <c r="E22" s="3"/>
      <c r="F22" s="7">
        <f t="shared" si="0"/>
        <v>0</v>
      </c>
      <c r="G22" s="3"/>
      <c r="H22" s="8">
        <v>5567.87</v>
      </c>
      <c r="I22" s="3"/>
      <c r="J22" s="7">
        <f t="shared" si="1"/>
        <v>0</v>
      </c>
      <c r="K22" s="3"/>
      <c r="L22" s="8">
        <f t="shared" si="2"/>
        <v>-734.59999999999945</v>
      </c>
      <c r="M22" s="3"/>
      <c r="N22" s="7">
        <f t="shared" si="3"/>
        <v>-0.13193555165619877</v>
      </c>
      <c r="O22" s="12"/>
      <c r="P22" s="8">
        <v>4833.2700000000004</v>
      </c>
      <c r="Q22" s="3"/>
      <c r="R22" s="7">
        <f t="shared" si="4"/>
        <v>0</v>
      </c>
      <c r="S22" s="3"/>
      <c r="T22" s="8">
        <v>5567.87</v>
      </c>
      <c r="U22" s="3"/>
      <c r="V22" s="7">
        <f t="shared" si="5"/>
        <v>0</v>
      </c>
      <c r="W22" s="3"/>
      <c r="X22" s="8">
        <f t="shared" si="6"/>
        <v>-734.59999999999945</v>
      </c>
      <c r="Y22" s="3"/>
      <c r="Z22" s="7">
        <f t="shared" si="7"/>
        <v>-0.13193555165619877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47.58</v>
      </c>
      <c r="E23" s="3"/>
      <c r="F23" s="7">
        <f t="shared" si="0"/>
        <v>0</v>
      </c>
      <c r="G23" s="3"/>
      <c r="H23" s="8">
        <v>56.22</v>
      </c>
      <c r="I23" s="3"/>
      <c r="J23" s="7">
        <f t="shared" si="1"/>
        <v>0</v>
      </c>
      <c r="K23" s="3"/>
      <c r="L23" s="8">
        <f t="shared" si="2"/>
        <v>-8.64</v>
      </c>
      <c r="M23" s="3"/>
      <c r="N23" s="7">
        <f t="shared" si="3"/>
        <v>-0.1536819637139808</v>
      </c>
      <c r="O23" s="12"/>
      <c r="P23" s="8">
        <v>47.58</v>
      </c>
      <c r="Q23" s="3"/>
      <c r="R23" s="7">
        <f t="shared" si="4"/>
        <v>0</v>
      </c>
      <c r="S23" s="3"/>
      <c r="T23" s="8">
        <v>56.22</v>
      </c>
      <c r="U23" s="3"/>
      <c r="V23" s="7">
        <f t="shared" si="5"/>
        <v>0</v>
      </c>
      <c r="W23" s="3"/>
      <c r="X23" s="8">
        <f t="shared" si="6"/>
        <v>-8.64</v>
      </c>
      <c r="Y23" s="3"/>
      <c r="Z23" s="7">
        <f t="shared" si="7"/>
        <v>-0.1536819637139808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1834.11</v>
      </c>
      <c r="E24" s="3"/>
      <c r="F24" s="7">
        <f t="shared" si="0"/>
        <v>0</v>
      </c>
      <c r="G24" s="3"/>
      <c r="H24" s="8">
        <v>2791.81</v>
      </c>
      <c r="I24" s="3"/>
      <c r="J24" s="7">
        <f t="shared" si="1"/>
        <v>0</v>
      </c>
      <c r="K24" s="3"/>
      <c r="L24" s="8">
        <f t="shared" si="2"/>
        <v>-957.7</v>
      </c>
      <c r="M24" s="3"/>
      <c r="N24" s="7">
        <f t="shared" si="3"/>
        <v>-0.34303910366393131</v>
      </c>
      <c r="O24" s="12"/>
      <c r="P24" s="8">
        <v>1834.11</v>
      </c>
      <c r="Q24" s="3"/>
      <c r="R24" s="7">
        <f t="shared" si="4"/>
        <v>0</v>
      </c>
      <c r="S24" s="3"/>
      <c r="T24" s="8">
        <v>2791.81</v>
      </c>
      <c r="U24" s="3"/>
      <c r="V24" s="7">
        <f t="shared" si="5"/>
        <v>0</v>
      </c>
      <c r="W24" s="3"/>
      <c r="X24" s="8">
        <f t="shared" si="6"/>
        <v>-957.7</v>
      </c>
      <c r="Y24" s="3"/>
      <c r="Z24" s="7">
        <f t="shared" si="7"/>
        <v>-0.34303910366393131</v>
      </c>
    </row>
    <row r="25" spans="1:26" s="24" customFormat="1" hidden="1" outlineLevel="2" x14ac:dyDescent="0.3">
      <c r="A25" s="27"/>
      <c r="B25" s="12" t="str">
        <f>CONCATENATE("          ", "6117", " - ", "RETIREMENT STAFF HOURLY")</f>
        <v xml:space="preserve">          6117 - RETIREMENT STAFF HOURLY</v>
      </c>
      <c r="C25" s="12"/>
      <c r="D25" s="8"/>
      <c r="E25" s="3"/>
      <c r="F25" s="7">
        <f t="shared" si="0"/>
        <v>0</v>
      </c>
      <c r="G25" s="3"/>
      <c r="H25" s="8">
        <v>251.52</v>
      </c>
      <c r="I25" s="3"/>
      <c r="J25" s="7">
        <f t="shared" si="1"/>
        <v>0</v>
      </c>
      <c r="K25" s="3"/>
      <c r="L25" s="8">
        <f t="shared" si="2"/>
        <v>-251.52</v>
      </c>
      <c r="M25" s="3"/>
      <c r="N25" s="7">
        <f t="shared" si="3"/>
        <v>-1</v>
      </c>
      <c r="O25" s="12"/>
      <c r="P25" s="8"/>
      <c r="Q25" s="3"/>
      <c r="R25" s="7">
        <f t="shared" si="4"/>
        <v>0</v>
      </c>
      <c r="S25" s="3"/>
      <c r="T25" s="8">
        <v>251.52</v>
      </c>
      <c r="U25" s="3"/>
      <c r="V25" s="7">
        <f t="shared" si="5"/>
        <v>0</v>
      </c>
      <c r="W25" s="3"/>
      <c r="X25" s="8">
        <f t="shared" si="6"/>
        <v>-251.52</v>
      </c>
      <c r="Y25" s="3"/>
      <c r="Z25" s="7">
        <f t="shared" si="7"/>
        <v>-1</v>
      </c>
    </row>
    <row r="26" spans="1:26" s="24" customFormat="1" hidden="1" outlineLevel="2" x14ac:dyDescent="0.3">
      <c r="A26" s="27"/>
      <c r="B26" s="12" t="str">
        <f>CONCATENATE("          ", "6118", " - ", "VACATION")</f>
        <v xml:space="preserve">          6118 - VACATION</v>
      </c>
      <c r="C26" s="12"/>
      <c r="D26" s="8">
        <v>1390.88</v>
      </c>
      <c r="E26" s="3"/>
      <c r="F26" s="7">
        <f t="shared" si="0"/>
        <v>0</v>
      </c>
      <c r="G26" s="3"/>
      <c r="H26" s="8">
        <v>1474.64</v>
      </c>
      <c r="I26" s="3"/>
      <c r="J26" s="7">
        <f t="shared" si="1"/>
        <v>0</v>
      </c>
      <c r="K26" s="3"/>
      <c r="L26" s="8">
        <f t="shared" si="2"/>
        <v>-83.759999999999991</v>
      </c>
      <c r="M26" s="3"/>
      <c r="N26" s="7">
        <f t="shared" si="3"/>
        <v>-5.6800303802962068E-2</v>
      </c>
      <c r="O26" s="12"/>
      <c r="P26" s="8">
        <v>1390.88</v>
      </c>
      <c r="Q26" s="3"/>
      <c r="R26" s="7">
        <f t="shared" si="4"/>
        <v>0</v>
      </c>
      <c r="S26" s="3"/>
      <c r="T26" s="8">
        <v>1474.64</v>
      </c>
      <c r="U26" s="3"/>
      <c r="V26" s="7">
        <f t="shared" si="5"/>
        <v>0</v>
      </c>
      <c r="W26" s="3"/>
      <c r="X26" s="8">
        <f t="shared" si="6"/>
        <v>-83.759999999999991</v>
      </c>
      <c r="Y26" s="3"/>
      <c r="Z26" s="7">
        <f t="shared" si="7"/>
        <v>-5.6800303802962068E-2</v>
      </c>
    </row>
    <row r="27" spans="1:26" s="24" customFormat="1" hidden="1" outlineLevel="2" x14ac:dyDescent="0.3">
      <c r="A27" s="27"/>
      <c r="B27" s="12" t="str">
        <f>CONCATENATE("          ", "6119", " - ", "SICK LEAVE")</f>
        <v xml:space="preserve">          6119 - SICK LEAVE</v>
      </c>
      <c r="C27" s="12"/>
      <c r="D27" s="8">
        <v>844.06</v>
      </c>
      <c r="E27" s="3"/>
      <c r="F27" s="7">
        <f t="shared" si="0"/>
        <v>0</v>
      </c>
      <c r="G27" s="3"/>
      <c r="H27" s="8">
        <v>999.04</v>
      </c>
      <c r="I27" s="3"/>
      <c r="J27" s="7">
        <f t="shared" si="1"/>
        <v>0</v>
      </c>
      <c r="K27" s="3"/>
      <c r="L27" s="8">
        <f t="shared" si="2"/>
        <v>-154.98000000000002</v>
      </c>
      <c r="M27" s="3"/>
      <c r="N27" s="7">
        <f t="shared" si="3"/>
        <v>-0.15512892376681617</v>
      </c>
      <c r="O27" s="12"/>
      <c r="P27" s="8">
        <v>844.06</v>
      </c>
      <c r="Q27" s="3"/>
      <c r="R27" s="7">
        <f t="shared" si="4"/>
        <v>0</v>
      </c>
      <c r="S27" s="3"/>
      <c r="T27" s="8">
        <v>999.04</v>
      </c>
      <c r="U27" s="3"/>
      <c r="V27" s="7">
        <f t="shared" si="5"/>
        <v>0</v>
      </c>
      <c r="W27" s="3"/>
      <c r="X27" s="8">
        <f t="shared" si="6"/>
        <v>-154.98000000000002</v>
      </c>
      <c r="Y27" s="3"/>
      <c r="Z27" s="7">
        <f t="shared" si="7"/>
        <v>-0.15512892376681617</v>
      </c>
    </row>
    <row r="28" spans="1:26" s="24" customFormat="1" hidden="1" outlineLevel="2" x14ac:dyDescent="0.3">
      <c r="A28" s="27"/>
      <c r="B28" s="12" t="str">
        <f>CONCATENATE("          ", "6156", " - ", "EMPLOYEE MEALS")</f>
        <v xml:space="preserve">          6156 - EMPLOYEE MEALS</v>
      </c>
      <c r="C28" s="12"/>
      <c r="D28" s="8">
        <v>135.29</v>
      </c>
      <c r="E28" s="3"/>
      <c r="F28" s="7">
        <f t="shared" si="0"/>
        <v>0</v>
      </c>
      <c r="G28" s="3"/>
      <c r="H28" s="8">
        <v>184</v>
      </c>
      <c r="I28" s="3"/>
      <c r="J28" s="7">
        <f t="shared" si="1"/>
        <v>0</v>
      </c>
      <c r="K28" s="3"/>
      <c r="L28" s="8">
        <f t="shared" si="2"/>
        <v>-48.710000000000008</v>
      </c>
      <c r="M28" s="3"/>
      <c r="N28" s="7">
        <f t="shared" si="3"/>
        <v>-0.26472826086956525</v>
      </c>
      <c r="O28" s="12"/>
      <c r="P28" s="8">
        <v>135.29</v>
      </c>
      <c r="Q28" s="3"/>
      <c r="R28" s="7">
        <f t="shared" si="4"/>
        <v>0</v>
      </c>
      <c r="S28" s="3"/>
      <c r="T28" s="8">
        <v>184</v>
      </c>
      <c r="U28" s="3"/>
      <c r="V28" s="7">
        <f t="shared" si="5"/>
        <v>0</v>
      </c>
      <c r="W28" s="3"/>
      <c r="X28" s="8">
        <f t="shared" si="6"/>
        <v>-48.710000000000008</v>
      </c>
      <c r="Y28" s="3"/>
      <c r="Z28" s="7">
        <f t="shared" si="7"/>
        <v>-0.26472826086956525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21142.27</v>
      </c>
      <c r="E29" s="1"/>
      <c r="F29" s="5">
        <f t="shared" ref="F29:F32" si="8">IF(D$12=0,0,D29/D$12)</f>
        <v>0</v>
      </c>
      <c r="G29" s="1"/>
      <c r="H29" s="1">
        <f>SUM(OSRRefH22_1x_0)</f>
        <v>25546.420000000002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-4404.1500000000015</v>
      </c>
      <c r="M29" s="1"/>
      <c r="N29" s="5">
        <f t="shared" ref="N29:N32" si="11">IF(H29=0,0,L29/H29)</f>
        <v>-0.1723979328610428</v>
      </c>
      <c r="O29" s="14"/>
      <c r="P29" s="1">
        <f>SUM(OSRRefP22_1x_0)</f>
        <v>21142.27</v>
      </c>
      <c r="Q29" s="1"/>
      <c r="R29" s="5">
        <f t="shared" ref="R29:R32" si="12">IF(P$12=0,0,P29/P$12)</f>
        <v>0</v>
      </c>
      <c r="S29" s="1"/>
      <c r="T29" s="1">
        <f>SUM(OSRRefT22_1x_0)</f>
        <v>25546.420000000002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-4404.1500000000015</v>
      </c>
      <c r="Y29" s="1"/>
      <c r="Z29" s="5">
        <f t="shared" ref="Z29:Z32" si="15">IF(T29=0,0,X29/T29)</f>
        <v>-0.1723979328610428</v>
      </c>
    </row>
    <row r="30" spans="1:26" s="24" customFormat="1" hidden="1" outlineLevel="2" x14ac:dyDescent="0.3">
      <c r="A30" s="27"/>
      <c r="B30" s="12" t="str">
        <f>CONCATENATE("          ", "6002", " - ", "STAFF SALARIES")</f>
        <v xml:space="preserve">          6002 - STAFF SALARIES</v>
      </c>
      <c r="C30" s="12"/>
      <c r="D30" s="8">
        <v>21142.27</v>
      </c>
      <c r="E30" s="3"/>
      <c r="F30" s="7">
        <f t="shared" si="8"/>
        <v>0</v>
      </c>
      <c r="G30" s="3"/>
      <c r="H30" s="8">
        <v>21357.08</v>
      </c>
      <c r="I30" s="3"/>
      <c r="J30" s="7">
        <f t="shared" si="9"/>
        <v>0</v>
      </c>
      <c r="K30" s="3"/>
      <c r="L30" s="8">
        <f t="shared" si="10"/>
        <v>-214.81000000000131</v>
      </c>
      <c r="M30" s="3"/>
      <c r="N30" s="7">
        <f t="shared" si="11"/>
        <v>-1.0058022913244756E-2</v>
      </c>
      <c r="O30" s="12"/>
      <c r="P30" s="8">
        <v>21142.27</v>
      </c>
      <c r="Q30" s="3"/>
      <c r="R30" s="7">
        <f t="shared" si="12"/>
        <v>0</v>
      </c>
      <c r="S30" s="3"/>
      <c r="T30" s="8">
        <v>21357.08</v>
      </c>
      <c r="U30" s="3"/>
      <c r="V30" s="7">
        <f t="shared" si="13"/>
        <v>0</v>
      </c>
      <c r="W30" s="3"/>
      <c r="X30" s="8">
        <f t="shared" si="14"/>
        <v>-214.81000000000131</v>
      </c>
      <c r="Y30" s="3"/>
      <c r="Z30" s="7">
        <f t="shared" si="15"/>
        <v>-1.0058022913244756E-2</v>
      </c>
    </row>
    <row r="31" spans="1:26" s="24" customFormat="1" hidden="1" outlineLevel="2" x14ac:dyDescent="0.3">
      <c r="A31" s="27"/>
      <c r="B31" s="12" t="str">
        <f>CONCATENATE("          ", "6004", " - ", "STAFF HOURLY")</f>
        <v xml:space="preserve">          6004 - STAFF HOURLY</v>
      </c>
      <c r="C31" s="12"/>
      <c r="D31" s="8"/>
      <c r="E31" s="3"/>
      <c r="F31" s="7">
        <f t="shared" si="8"/>
        <v>0</v>
      </c>
      <c r="G31" s="3"/>
      <c r="H31" s="8">
        <v>3350.34</v>
      </c>
      <c r="I31" s="3"/>
      <c r="J31" s="7">
        <f t="shared" si="9"/>
        <v>0</v>
      </c>
      <c r="K31" s="3"/>
      <c r="L31" s="8">
        <f t="shared" si="10"/>
        <v>-3350.34</v>
      </c>
      <c r="M31" s="3"/>
      <c r="N31" s="7">
        <f t="shared" si="11"/>
        <v>-1</v>
      </c>
      <c r="O31" s="12"/>
      <c r="P31" s="8"/>
      <c r="Q31" s="3"/>
      <c r="R31" s="7">
        <f t="shared" si="12"/>
        <v>0</v>
      </c>
      <c r="S31" s="3"/>
      <c r="T31" s="8">
        <v>3350.34</v>
      </c>
      <c r="U31" s="3"/>
      <c r="V31" s="7">
        <f t="shared" si="13"/>
        <v>0</v>
      </c>
      <c r="W31" s="3"/>
      <c r="X31" s="8">
        <f t="shared" si="14"/>
        <v>-3350.34</v>
      </c>
      <c r="Y31" s="3"/>
      <c r="Z31" s="7">
        <f t="shared" si="15"/>
        <v>-1</v>
      </c>
    </row>
    <row r="32" spans="1:26" s="24" customFormat="1" hidden="1" outlineLevel="2" x14ac:dyDescent="0.3">
      <c r="A32" s="27"/>
      <c r="B32" s="12" t="str">
        <f>CONCATENATE("          ", "6007", " - ", "STUDENT HOURLY")</f>
        <v xml:space="preserve">          6007 - STUDENT HOURLY</v>
      </c>
      <c r="C32" s="12"/>
      <c r="D32" s="8"/>
      <c r="E32" s="3"/>
      <c r="F32" s="7">
        <f t="shared" si="8"/>
        <v>0</v>
      </c>
      <c r="G32" s="3"/>
      <c r="H32" s="8">
        <v>839</v>
      </c>
      <c r="I32" s="3"/>
      <c r="J32" s="7">
        <f t="shared" si="9"/>
        <v>0</v>
      </c>
      <c r="K32" s="3"/>
      <c r="L32" s="8">
        <f t="shared" si="10"/>
        <v>-839</v>
      </c>
      <c r="M32" s="3"/>
      <c r="N32" s="7">
        <f t="shared" si="11"/>
        <v>-1</v>
      </c>
      <c r="O32" s="12"/>
      <c r="P32" s="8"/>
      <c r="Q32" s="3"/>
      <c r="R32" s="7">
        <f t="shared" si="12"/>
        <v>0</v>
      </c>
      <c r="S32" s="3"/>
      <c r="T32" s="8">
        <v>839</v>
      </c>
      <c r="U32" s="3"/>
      <c r="V32" s="7">
        <f t="shared" si="13"/>
        <v>0</v>
      </c>
      <c r="W32" s="3"/>
      <c r="X32" s="8">
        <f t="shared" si="14"/>
        <v>-839</v>
      </c>
      <c r="Y32" s="3"/>
      <c r="Z32" s="7">
        <f t="shared" si="15"/>
        <v>-1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5098.37</v>
      </c>
      <c r="E33" s="1"/>
      <c r="F33" s="5">
        <f t="shared" ref="F33:F39" si="16">IF(D$12=0,0,D33/D$12)</f>
        <v>0</v>
      </c>
      <c r="G33" s="1"/>
      <c r="H33" s="1">
        <f>SUM(OSRRefH22_2x_0)</f>
        <v>5462.14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-363.77000000000044</v>
      </c>
      <c r="M33" s="1"/>
      <c r="N33" s="5">
        <f t="shared" ref="N33:N39" si="19">IF(H33=0,0,L33/H33)</f>
        <v>-6.6598439439487164E-2</v>
      </c>
      <c r="O33" s="14"/>
      <c r="P33" s="1">
        <f>SUM(OSRRefP22_2x_0)</f>
        <v>5098.37</v>
      </c>
      <c r="Q33" s="1"/>
      <c r="R33" s="5">
        <f t="shared" ref="R33:R39" si="20">IF(P$12=0,0,P33/P$12)</f>
        <v>0</v>
      </c>
      <c r="S33" s="1"/>
      <c r="T33" s="1">
        <f>SUM(OSRRefT22_2x_0)</f>
        <v>5462.14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-363.77000000000044</v>
      </c>
      <c r="Y33" s="1"/>
      <c r="Z33" s="5">
        <f t="shared" ref="Z33:Z39" si="23">IF(T33=0,0,X33/T33)</f>
        <v>-6.6598439439487164E-2</v>
      </c>
    </row>
    <row r="34" spans="1:26" s="24" customFormat="1" hidden="1" outlineLevel="2" x14ac:dyDescent="0.3">
      <c r="A34" s="27"/>
      <c r="B34" s="12" t="str">
        <f>CONCATENATE("          ", "6322", " - ", "EQUIPMENT DEPRECIATION EXPENSE")</f>
        <v xml:space="preserve">          6322 - EQUIPMENT DEPRECIATION EXPENSE</v>
      </c>
      <c r="C34" s="12"/>
      <c r="D34" s="8">
        <v>5098.37</v>
      </c>
      <c r="E34" s="3"/>
      <c r="F34" s="7">
        <f t="shared" si="16"/>
        <v>0</v>
      </c>
      <c r="G34" s="3"/>
      <c r="H34" s="8">
        <v>5462.14</v>
      </c>
      <c r="I34" s="3"/>
      <c r="J34" s="7">
        <f t="shared" si="17"/>
        <v>0</v>
      </c>
      <c r="K34" s="3"/>
      <c r="L34" s="8">
        <f t="shared" si="18"/>
        <v>-363.77000000000044</v>
      </c>
      <c r="M34" s="3"/>
      <c r="N34" s="7">
        <f t="shared" si="19"/>
        <v>-6.6598439439487164E-2</v>
      </c>
      <c r="O34" s="12"/>
      <c r="P34" s="8">
        <v>5098.37</v>
      </c>
      <c r="Q34" s="3"/>
      <c r="R34" s="7">
        <f t="shared" si="20"/>
        <v>0</v>
      </c>
      <c r="S34" s="3"/>
      <c r="T34" s="8">
        <v>5462.14</v>
      </c>
      <c r="U34" s="3"/>
      <c r="V34" s="7">
        <f t="shared" si="21"/>
        <v>0</v>
      </c>
      <c r="W34" s="3"/>
      <c r="X34" s="8">
        <f t="shared" si="22"/>
        <v>-363.77000000000044</v>
      </c>
      <c r="Y34" s="3"/>
      <c r="Z34" s="7">
        <f t="shared" si="23"/>
        <v>-6.6598439439487164E-2</v>
      </c>
    </row>
    <row r="35" spans="1:26" s="29" customFormat="1" outlineLevel="1" collapsed="1" x14ac:dyDescent="0.3">
      <c r="A35" s="28"/>
      <c r="B35" s="14" t="str">
        <f>CONCATENATE("     ","Insurance                                         ")</f>
        <v xml:space="preserve">     Insurance                                         </v>
      </c>
      <c r="C35" s="14"/>
      <c r="D35" s="1">
        <f>SUM(OSRRefD22_3x_0)</f>
        <v>76.569999999999993</v>
      </c>
      <c r="E35" s="1"/>
      <c r="F35" s="5">
        <f t="shared" si="16"/>
        <v>0</v>
      </c>
      <c r="G35" s="1"/>
      <c r="H35" s="1">
        <f>SUM(OSRRefH22_3x_0)</f>
        <v>56.34</v>
      </c>
      <c r="I35" s="1"/>
      <c r="J35" s="5">
        <f t="shared" si="17"/>
        <v>0</v>
      </c>
      <c r="K35" s="1"/>
      <c r="L35" s="1">
        <f t="shared" si="18"/>
        <v>20.22999999999999</v>
      </c>
      <c r="M35" s="1"/>
      <c r="N35" s="5">
        <f t="shared" si="19"/>
        <v>0.35906993255236047</v>
      </c>
      <c r="O35" s="14"/>
      <c r="P35" s="1">
        <f>SUM(OSRRefP22_3x_0)</f>
        <v>76.569999999999993</v>
      </c>
      <c r="Q35" s="1"/>
      <c r="R35" s="5">
        <f t="shared" si="20"/>
        <v>0</v>
      </c>
      <c r="S35" s="1"/>
      <c r="T35" s="1">
        <f>SUM(OSRRefT22_3x_0)</f>
        <v>56.34</v>
      </c>
      <c r="U35" s="1"/>
      <c r="V35" s="5">
        <f t="shared" si="21"/>
        <v>0</v>
      </c>
      <c r="W35" s="1"/>
      <c r="X35" s="1">
        <f t="shared" si="22"/>
        <v>20.22999999999999</v>
      </c>
      <c r="Y35" s="1"/>
      <c r="Z35" s="5">
        <f t="shared" si="23"/>
        <v>0.35906993255236047</v>
      </c>
    </row>
    <row r="36" spans="1:26" s="24" customFormat="1" hidden="1" outlineLevel="2" x14ac:dyDescent="0.3">
      <c r="A36" s="27"/>
      <c r="B36" s="12" t="str">
        <f>CONCATENATE("          ", "6314", " - ", "LIABILITY INSURANCE")</f>
        <v xml:space="preserve">          6314 - LIABILITY INSURANCE</v>
      </c>
      <c r="C36" s="12"/>
      <c r="D36" s="8">
        <v>76.569999999999993</v>
      </c>
      <c r="E36" s="3"/>
      <c r="F36" s="7">
        <f t="shared" si="16"/>
        <v>0</v>
      </c>
      <c r="G36" s="3"/>
      <c r="H36" s="8">
        <v>56.34</v>
      </c>
      <c r="I36" s="3"/>
      <c r="J36" s="7">
        <f t="shared" si="17"/>
        <v>0</v>
      </c>
      <c r="K36" s="3"/>
      <c r="L36" s="8">
        <f t="shared" si="18"/>
        <v>20.22999999999999</v>
      </c>
      <c r="M36" s="3"/>
      <c r="N36" s="7">
        <f t="shared" si="19"/>
        <v>0.35906993255236047</v>
      </c>
      <c r="O36" s="12"/>
      <c r="P36" s="8">
        <v>76.569999999999993</v>
      </c>
      <c r="Q36" s="3"/>
      <c r="R36" s="7">
        <f t="shared" si="20"/>
        <v>0</v>
      </c>
      <c r="S36" s="3"/>
      <c r="T36" s="8">
        <v>56.34</v>
      </c>
      <c r="U36" s="3"/>
      <c r="V36" s="7">
        <f t="shared" si="21"/>
        <v>0</v>
      </c>
      <c r="W36" s="3"/>
      <c r="X36" s="8">
        <f t="shared" si="22"/>
        <v>20.22999999999999</v>
      </c>
      <c r="Y36" s="3"/>
      <c r="Z36" s="7">
        <f t="shared" si="23"/>
        <v>0.35906993255236047</v>
      </c>
    </row>
    <row r="37" spans="1:26" s="29" customFormat="1" outlineLevel="1" collapsed="1" x14ac:dyDescent="0.3">
      <c r="A37" s="28"/>
      <c r="B37" s="14" t="str">
        <f>CONCATENATE("     ","Repair and Maintenance                            ")</f>
        <v xml:space="preserve">     Repair and Maintenance                            </v>
      </c>
      <c r="C37" s="14"/>
      <c r="D37" s="1">
        <f>SUM(OSRRefD22_4x_0)</f>
        <v>9565</v>
      </c>
      <c r="E37" s="1"/>
      <c r="F37" s="5">
        <f t="shared" si="16"/>
        <v>0</v>
      </c>
      <c r="G37" s="1"/>
      <c r="H37" s="1">
        <f>SUM(OSRRefH22_4x_0)</f>
        <v>11992</v>
      </c>
      <c r="I37" s="1"/>
      <c r="J37" s="5">
        <f t="shared" si="17"/>
        <v>0</v>
      </c>
      <c r="K37" s="1"/>
      <c r="L37" s="1">
        <f t="shared" si="18"/>
        <v>-2427</v>
      </c>
      <c r="M37" s="1"/>
      <c r="N37" s="5">
        <f t="shared" si="19"/>
        <v>-0.20238492328218813</v>
      </c>
      <c r="O37" s="14"/>
      <c r="P37" s="1">
        <f>SUM(OSRRefP22_4x_0)</f>
        <v>9565</v>
      </c>
      <c r="Q37" s="1"/>
      <c r="R37" s="5">
        <f t="shared" si="20"/>
        <v>0</v>
      </c>
      <c r="S37" s="1"/>
      <c r="T37" s="1">
        <f>SUM(OSRRefT22_4x_0)</f>
        <v>11992</v>
      </c>
      <c r="U37" s="1"/>
      <c r="V37" s="5">
        <f t="shared" si="21"/>
        <v>0</v>
      </c>
      <c r="W37" s="1"/>
      <c r="X37" s="1">
        <f t="shared" si="22"/>
        <v>-2427</v>
      </c>
      <c r="Y37" s="1"/>
      <c r="Z37" s="5">
        <f t="shared" si="23"/>
        <v>-0.20238492328218813</v>
      </c>
    </row>
    <row r="38" spans="1:26" s="24" customFormat="1" hidden="1" outlineLevel="2" x14ac:dyDescent="0.3">
      <c r="A38" s="27"/>
      <c r="B38" s="12" t="str">
        <f>CONCATENATE("          ", "6371", " - ", "COMPUTER SOFTWARE MAINTENANCE")</f>
        <v xml:space="preserve">          6371 - COMPUTER SOFTWARE MAINTENANCE</v>
      </c>
      <c r="C38" s="12"/>
      <c r="D38" s="8">
        <v>99</v>
      </c>
      <c r="E38" s="3"/>
      <c r="F38" s="7">
        <f t="shared" si="16"/>
        <v>0</v>
      </c>
      <c r="G38" s="3"/>
      <c r="H38" s="8"/>
      <c r="I38" s="3"/>
      <c r="J38" s="7">
        <f t="shared" si="17"/>
        <v>0</v>
      </c>
      <c r="K38" s="3"/>
      <c r="L38" s="8">
        <f t="shared" si="18"/>
        <v>99</v>
      </c>
      <c r="M38" s="3"/>
      <c r="N38" s="7">
        <f t="shared" si="19"/>
        <v>0</v>
      </c>
      <c r="O38" s="12"/>
      <c r="P38" s="8">
        <v>99</v>
      </c>
      <c r="Q38" s="3"/>
      <c r="R38" s="7">
        <f t="shared" si="20"/>
        <v>0</v>
      </c>
      <c r="S38" s="3"/>
      <c r="T38" s="8"/>
      <c r="U38" s="3"/>
      <c r="V38" s="7">
        <f t="shared" si="21"/>
        <v>0</v>
      </c>
      <c r="W38" s="3"/>
      <c r="X38" s="8">
        <f t="shared" si="22"/>
        <v>99</v>
      </c>
      <c r="Y38" s="3"/>
      <c r="Z38" s="7">
        <f t="shared" si="23"/>
        <v>0</v>
      </c>
    </row>
    <row r="39" spans="1:26" s="24" customFormat="1" hidden="1" outlineLevel="2" x14ac:dyDescent="0.3">
      <c r="A39" s="27"/>
      <c r="B39" s="12" t="str">
        <f>CONCATENATE("          ", "6373", " - ", "MAINTENANCE CONTRACTS")</f>
        <v xml:space="preserve">          6373 - MAINTENANCE CONTRACTS</v>
      </c>
      <c r="C39" s="12"/>
      <c r="D39" s="8">
        <v>9466</v>
      </c>
      <c r="E39" s="3"/>
      <c r="F39" s="7">
        <f t="shared" si="16"/>
        <v>0</v>
      </c>
      <c r="G39" s="3"/>
      <c r="H39" s="8">
        <v>11992</v>
      </c>
      <c r="I39" s="3"/>
      <c r="J39" s="7">
        <f t="shared" si="17"/>
        <v>0</v>
      </c>
      <c r="K39" s="3"/>
      <c r="L39" s="8">
        <f t="shared" si="18"/>
        <v>-2526</v>
      </c>
      <c r="M39" s="3"/>
      <c r="N39" s="7">
        <f t="shared" si="19"/>
        <v>-0.21064042695130086</v>
      </c>
      <c r="O39" s="12"/>
      <c r="P39" s="8">
        <v>9466</v>
      </c>
      <c r="Q39" s="3"/>
      <c r="R39" s="7">
        <f t="shared" si="20"/>
        <v>0</v>
      </c>
      <c r="S39" s="3"/>
      <c r="T39" s="8">
        <v>11992</v>
      </c>
      <c r="U39" s="3"/>
      <c r="V39" s="7">
        <f t="shared" si="21"/>
        <v>0</v>
      </c>
      <c r="W39" s="3"/>
      <c r="X39" s="8">
        <f t="shared" si="22"/>
        <v>-2526</v>
      </c>
      <c r="Y39" s="3"/>
      <c r="Z39" s="7">
        <f t="shared" si="23"/>
        <v>-0.21064042695130086</v>
      </c>
    </row>
    <row r="40" spans="1:26" s="29" customFormat="1" outlineLevel="1" collapsed="1" x14ac:dyDescent="0.3">
      <c r="A40" s="28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SUM(OSRRefD22_5x_0)</f>
        <v>336.92</v>
      </c>
      <c r="E40" s="1"/>
      <c r="F40" s="5">
        <f t="shared" ref="F40:F44" si="24">IF(D$12=0,0,D40/D$12)</f>
        <v>0</v>
      </c>
      <c r="G40" s="1"/>
      <c r="H40" s="1">
        <f>SUM(OSRRefH22_5x_0)</f>
        <v>-55.46</v>
      </c>
      <c r="I40" s="1"/>
      <c r="J40" s="5">
        <f t="shared" ref="J40:J44" si="25">IF(H$12=0,0,H40/H$12)</f>
        <v>0</v>
      </c>
      <c r="K40" s="1"/>
      <c r="L40" s="1">
        <f t="shared" ref="L40:L44" si="26">+D40-H40</f>
        <v>392.38</v>
      </c>
      <c r="M40" s="1"/>
      <c r="N40" s="5">
        <f t="shared" ref="N40:N44" si="27">IF(H40=0,0,L40/H40)</f>
        <v>-7.0750090155066712</v>
      </c>
      <c r="O40" s="14"/>
      <c r="P40" s="1">
        <f>SUM(OSRRefP22_5x_0)</f>
        <v>336.92</v>
      </c>
      <c r="Q40" s="1"/>
      <c r="R40" s="5">
        <f t="shared" ref="R40:R44" si="28">IF(P$12=0,0,P40/P$12)</f>
        <v>0</v>
      </c>
      <c r="S40" s="1"/>
      <c r="T40" s="1">
        <f>SUM(OSRRefT22_5x_0)</f>
        <v>-55.46</v>
      </c>
      <c r="U40" s="1"/>
      <c r="V40" s="5">
        <f t="shared" ref="V40:V44" si="29">IF(T$12=0,0,T40/T$12)</f>
        <v>0</v>
      </c>
      <c r="W40" s="1"/>
      <c r="X40" s="1">
        <f t="shared" ref="X40:X44" si="30">+P40-T40</f>
        <v>392.38</v>
      </c>
      <c r="Y40" s="1"/>
      <c r="Z40" s="5">
        <f t="shared" ref="Z40:Z44" si="31">IF(T40=0,0,X40/T40)</f>
        <v>-7.0750090155066712</v>
      </c>
    </row>
    <row r="41" spans="1:26" s="24" customFormat="1" hidden="1" outlineLevel="2" x14ac:dyDescent="0.3">
      <c r="A41" s="27"/>
      <c r="B41" s="12" t="str">
        <f>CONCATENATE("          ", "6241", " - ", "OFFICE EXPENSE")</f>
        <v xml:space="preserve">          6241 - OFFICE EXPENSE</v>
      </c>
      <c r="C41" s="12"/>
      <c r="D41" s="8">
        <v>336.92</v>
      </c>
      <c r="E41" s="3"/>
      <c r="F41" s="7">
        <f t="shared" si="24"/>
        <v>0</v>
      </c>
      <c r="G41" s="3"/>
      <c r="H41" s="8">
        <v>-55.46</v>
      </c>
      <c r="I41" s="3"/>
      <c r="J41" s="7">
        <f t="shared" si="25"/>
        <v>0</v>
      </c>
      <c r="K41" s="3"/>
      <c r="L41" s="8">
        <f t="shared" si="26"/>
        <v>392.38</v>
      </c>
      <c r="M41" s="3"/>
      <c r="N41" s="7">
        <f t="shared" si="27"/>
        <v>-7.0750090155066712</v>
      </c>
      <c r="O41" s="12"/>
      <c r="P41" s="8">
        <v>336.92</v>
      </c>
      <c r="Q41" s="3"/>
      <c r="R41" s="7">
        <f t="shared" si="28"/>
        <v>0</v>
      </c>
      <c r="S41" s="3"/>
      <c r="T41" s="8">
        <v>-55.46</v>
      </c>
      <c r="U41" s="3"/>
      <c r="V41" s="7">
        <f t="shared" si="29"/>
        <v>0</v>
      </c>
      <c r="W41" s="3"/>
      <c r="X41" s="8">
        <f t="shared" si="30"/>
        <v>392.38</v>
      </c>
      <c r="Y41" s="3"/>
      <c r="Z41" s="7">
        <f t="shared" si="31"/>
        <v>-7.0750090155066712</v>
      </c>
    </row>
    <row r="42" spans="1:26" s="29" customFormat="1" outlineLevel="1" collapsed="1" x14ac:dyDescent="0.3">
      <c r="A42" s="28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SUM(OSRRefD22_6x_0)</f>
        <v>913.68000000000006</v>
      </c>
      <c r="E42" s="1"/>
      <c r="F42" s="5">
        <f t="shared" si="24"/>
        <v>0</v>
      </c>
      <c r="G42" s="1"/>
      <c r="H42" s="1">
        <f>SUM(OSRRefH22_6x_0)</f>
        <v>856.77</v>
      </c>
      <c r="I42" s="1"/>
      <c r="J42" s="5">
        <f t="shared" si="25"/>
        <v>0</v>
      </c>
      <c r="K42" s="1"/>
      <c r="L42" s="1">
        <f t="shared" si="26"/>
        <v>56.910000000000082</v>
      </c>
      <c r="M42" s="1"/>
      <c r="N42" s="5">
        <f t="shared" si="27"/>
        <v>6.6423894394061517E-2</v>
      </c>
      <c r="O42" s="14"/>
      <c r="P42" s="1">
        <f>SUM(OSRRefP22_6x_0)</f>
        <v>913.68000000000006</v>
      </c>
      <c r="Q42" s="1"/>
      <c r="R42" s="5">
        <f t="shared" si="28"/>
        <v>0</v>
      </c>
      <c r="S42" s="1"/>
      <c r="T42" s="1">
        <f>SUM(OSRRefT22_6x_0)</f>
        <v>856.77</v>
      </c>
      <c r="U42" s="1"/>
      <c r="V42" s="5">
        <f t="shared" si="29"/>
        <v>0</v>
      </c>
      <c r="W42" s="1"/>
      <c r="X42" s="1">
        <f t="shared" si="30"/>
        <v>56.910000000000082</v>
      </c>
      <c r="Y42" s="1"/>
      <c r="Z42" s="5">
        <f t="shared" si="31"/>
        <v>6.6423894394061517E-2</v>
      </c>
    </row>
    <row r="43" spans="1:26" s="24" customFormat="1" hidden="1" outlineLevel="2" x14ac:dyDescent="0.3">
      <c r="A43" s="27"/>
      <c r="B43" s="12" t="str">
        <f>CONCATENATE("          ", "6303", " - ", "DATA PHONE LINES")</f>
        <v xml:space="preserve">          6303 - DATA PHONE LINES</v>
      </c>
      <c r="C43" s="12"/>
      <c r="D43" s="8">
        <v>161.97999999999999</v>
      </c>
      <c r="E43" s="3"/>
      <c r="F43" s="7">
        <f t="shared" si="24"/>
        <v>0</v>
      </c>
      <c r="G43" s="3"/>
      <c r="H43" s="8">
        <v>78.989999999999995</v>
      </c>
      <c r="I43" s="3"/>
      <c r="J43" s="7">
        <f t="shared" si="25"/>
        <v>0</v>
      </c>
      <c r="K43" s="3"/>
      <c r="L43" s="8">
        <f t="shared" si="26"/>
        <v>82.99</v>
      </c>
      <c r="M43" s="3"/>
      <c r="N43" s="7">
        <f t="shared" si="27"/>
        <v>1.0506393214330929</v>
      </c>
      <c r="O43" s="12"/>
      <c r="P43" s="8">
        <v>161.97999999999999</v>
      </c>
      <c r="Q43" s="3"/>
      <c r="R43" s="7">
        <f t="shared" si="28"/>
        <v>0</v>
      </c>
      <c r="S43" s="3"/>
      <c r="T43" s="8">
        <v>78.989999999999995</v>
      </c>
      <c r="U43" s="3"/>
      <c r="V43" s="7">
        <f t="shared" si="29"/>
        <v>0</v>
      </c>
      <c r="W43" s="3"/>
      <c r="X43" s="8">
        <f t="shared" si="30"/>
        <v>82.99</v>
      </c>
      <c r="Y43" s="3"/>
      <c r="Z43" s="7">
        <f t="shared" si="31"/>
        <v>1.0506393214330929</v>
      </c>
    </row>
    <row r="44" spans="1:26" s="24" customFormat="1" hidden="1" outlineLevel="2" x14ac:dyDescent="0.3">
      <c r="A44" s="27"/>
      <c r="B44" s="12" t="str">
        <f>CONCATENATE("          ", "6309", " - ", "TELEPHONE")</f>
        <v xml:space="preserve">          6309 - TELEPHONE</v>
      </c>
      <c r="C44" s="12"/>
      <c r="D44" s="8">
        <v>751.7</v>
      </c>
      <c r="E44" s="3"/>
      <c r="F44" s="7">
        <f t="shared" si="24"/>
        <v>0</v>
      </c>
      <c r="G44" s="3"/>
      <c r="H44" s="8">
        <v>777.78</v>
      </c>
      <c r="I44" s="3"/>
      <c r="J44" s="7">
        <f t="shared" si="25"/>
        <v>0</v>
      </c>
      <c r="K44" s="3"/>
      <c r="L44" s="8">
        <f t="shared" si="26"/>
        <v>-26.079999999999927</v>
      </c>
      <c r="M44" s="3"/>
      <c r="N44" s="7">
        <f t="shared" si="27"/>
        <v>-3.3531332767620568E-2</v>
      </c>
      <c r="O44" s="12"/>
      <c r="P44" s="8">
        <v>751.7</v>
      </c>
      <c r="Q44" s="3"/>
      <c r="R44" s="7">
        <f t="shared" si="28"/>
        <v>0</v>
      </c>
      <c r="S44" s="3"/>
      <c r="T44" s="8">
        <v>777.78</v>
      </c>
      <c r="U44" s="3"/>
      <c r="V44" s="7">
        <f t="shared" si="29"/>
        <v>0</v>
      </c>
      <c r="W44" s="3"/>
      <c r="X44" s="8">
        <f t="shared" si="30"/>
        <v>-26.079999999999927</v>
      </c>
      <c r="Y44" s="3"/>
      <c r="Z44" s="7">
        <f t="shared" si="31"/>
        <v>-3.3531332767620568E-2</v>
      </c>
    </row>
    <row r="45" spans="1:26" s="53" customFormat="1" x14ac:dyDescent="0.3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292</v>
      </c>
      <c r="C46" s="10"/>
      <c r="D46" s="4">
        <f>SUM(0)</f>
        <v>0</v>
      </c>
      <c r="E46" s="4"/>
      <c r="F46" s="11">
        <f>IF(D$12=0,0,D46/D$12)</f>
        <v>0</v>
      </c>
      <c r="G46" s="4"/>
      <c r="H46" s="4">
        <f>SUM(0)</f>
        <v>0</v>
      </c>
      <c r="I46" s="4"/>
      <c r="J46" s="11">
        <f>IF(H$12=0,0,H46/H$12)</f>
        <v>0</v>
      </c>
      <c r="K46" s="4"/>
      <c r="L46" s="4">
        <f>+D46-H46</f>
        <v>0</v>
      </c>
      <c r="M46" s="4"/>
      <c r="N46" s="11">
        <f>IF(H46=0,0,L46/H46)</f>
        <v>0</v>
      </c>
      <c r="O46" s="10"/>
      <c r="P46" s="4">
        <f>SUM(0)</f>
        <v>0</v>
      </c>
      <c r="Q46" s="4"/>
      <c r="R46" s="11">
        <f>IF(P$12=0,0,P46/P$12)</f>
        <v>0</v>
      </c>
      <c r="S46" s="4"/>
      <c r="T46" s="4">
        <f>SUM(0)</f>
        <v>0</v>
      </c>
      <c r="U46" s="4"/>
      <c r="V46" s="11">
        <f>IF(T$12=0,0,T46/T$12)</f>
        <v>0</v>
      </c>
      <c r="W46" s="4"/>
      <c r="X46" s="4">
        <f>+P46-T46</f>
        <v>0</v>
      </c>
      <c r="Y46" s="4"/>
      <c r="Z46" s="11">
        <f>IF(T46=0,0,X46/T46)</f>
        <v>0</v>
      </c>
    </row>
    <row r="47" spans="1:26" x14ac:dyDescent="0.3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x14ac:dyDescent="0.3">
      <c r="A48" s="10"/>
      <c r="B48" s="26" t="s">
        <v>276</v>
      </c>
      <c r="C48" s="26"/>
      <c r="D48" s="20">
        <f>+D16-D18+D46</f>
        <v>-47853.990000000005</v>
      </c>
      <c r="E48" s="13"/>
      <c r="F48" s="21">
        <f>IF(D$12=0,0,D48/D$12)</f>
        <v>0</v>
      </c>
      <c r="G48" s="13"/>
      <c r="H48" s="20">
        <f>+H16-H18+H46</f>
        <v>-56908.759999999995</v>
      </c>
      <c r="I48" s="13"/>
      <c r="J48" s="21">
        <f>IF(H$12=0,0,H48/H$12)</f>
        <v>0</v>
      </c>
      <c r="K48" s="16"/>
      <c r="L48" s="20">
        <f>+D48-H48</f>
        <v>9054.7699999999895</v>
      </c>
      <c r="M48" s="16"/>
      <c r="N48" s="21">
        <f>IF(H48=0,0,L48/H48)</f>
        <v>-0.15911030217491984</v>
      </c>
      <c r="O48" s="25"/>
      <c r="P48" s="20">
        <f>+P16-P18+P46</f>
        <v>-47853.990000000005</v>
      </c>
      <c r="Q48" s="13"/>
      <c r="R48" s="21">
        <f>IF(P$12=0,0,P48/P$12)</f>
        <v>0</v>
      </c>
      <c r="S48" s="13"/>
      <c r="T48" s="20">
        <f>+T16-T18+T46</f>
        <v>-56908.759999999995</v>
      </c>
      <c r="U48" s="13"/>
      <c r="V48" s="21">
        <f>IF(T$12=0,0,T48/T$12)</f>
        <v>0</v>
      </c>
      <c r="W48" s="16"/>
      <c r="X48" s="20">
        <f>+P48-T48</f>
        <v>9054.7699999999895</v>
      </c>
      <c r="Y48" s="16"/>
      <c r="Z48" s="21">
        <f>IF(T48=0,0,X48/T48)</f>
        <v>-0.15911030217491984</v>
      </c>
    </row>
    <row r="49" spans="1:26" x14ac:dyDescent="0.3">
      <c r="A49" s="9"/>
      <c r="B49" s="10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3">
      <c r="A50" s="51"/>
      <c r="B50" s="10" t="s">
        <v>127</v>
      </c>
      <c r="C50" s="10"/>
      <c r="D50" s="4"/>
      <c r="E50" s="4"/>
      <c r="F50" s="11">
        <f>IF(D$12=0,0,D50/D$12)</f>
        <v>0</v>
      </c>
      <c r="G50" s="4"/>
      <c r="H50" s="4"/>
      <c r="I50" s="4"/>
      <c r="J50" s="11">
        <f>IF(H$12=0,0,H50/H$12)</f>
        <v>0</v>
      </c>
      <c r="K50" s="4"/>
      <c r="L50" s="4">
        <f>+D50-H50</f>
        <v>0</v>
      </c>
      <c r="M50" s="4"/>
      <c r="N50" s="11">
        <f>IF(H50=0,0,L50/H50)</f>
        <v>0</v>
      </c>
      <c r="O50" s="10"/>
      <c r="P50" s="4"/>
      <c r="Q50" s="4"/>
      <c r="R50" s="11">
        <f>IF(P$12=0,0,P50/P$12)</f>
        <v>0</v>
      </c>
      <c r="S50" s="4"/>
      <c r="T50" s="4"/>
      <c r="U50" s="4"/>
      <c r="V50" s="11">
        <f>IF(T$12=0,0,T50/T$12)</f>
        <v>0</v>
      </c>
      <c r="W50" s="4"/>
      <c r="X50" s="4">
        <f>+P50-T50</f>
        <v>0</v>
      </c>
      <c r="Y50" s="4"/>
      <c r="Z50" s="11">
        <f>IF(T50=0,0,X50/T50)</f>
        <v>0</v>
      </c>
    </row>
    <row r="51" spans="1:26" x14ac:dyDescent="0.3">
      <c r="A51" s="9"/>
      <c r="B51" s="10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10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ht="15" thickBot="1" x14ac:dyDescent="0.35">
      <c r="A52" s="10"/>
      <c r="B52" s="26" t="s">
        <v>125</v>
      </c>
      <c r="C52" s="26"/>
      <c r="D52" s="36">
        <f>+D48-D50</f>
        <v>-47853.990000000005</v>
      </c>
      <c r="E52" s="13"/>
      <c r="F52" s="34">
        <f>IF(D$12=0,0,D52/D$12)</f>
        <v>0</v>
      </c>
      <c r="G52" s="13"/>
      <c r="H52" s="36">
        <f>+H48-H50</f>
        <v>-56908.759999999995</v>
      </c>
      <c r="I52" s="13"/>
      <c r="J52" s="34">
        <f>IF(H$12=0,0,H52/H$12)</f>
        <v>0</v>
      </c>
      <c r="K52" s="16"/>
      <c r="L52" s="36">
        <f>D52-H52</f>
        <v>9054.7699999999895</v>
      </c>
      <c r="M52" s="16"/>
      <c r="N52" s="34">
        <f>IF(H52=0,0,L52/H52)</f>
        <v>-0.15911030217491984</v>
      </c>
      <c r="O52" s="25"/>
      <c r="P52" s="36">
        <f>+P48-P50</f>
        <v>-47853.990000000005</v>
      </c>
      <c r="Q52" s="13"/>
      <c r="R52" s="34">
        <f>IF(P$12=0,0,P52/P$12)</f>
        <v>0</v>
      </c>
      <c r="S52" s="13"/>
      <c r="T52" s="36">
        <f>+T48-T50</f>
        <v>-56908.759999999995</v>
      </c>
      <c r="U52" s="13"/>
      <c r="V52" s="34">
        <f>IF(T$12=0,0,T52/T$12)</f>
        <v>0</v>
      </c>
      <c r="W52" s="16"/>
      <c r="X52" s="36">
        <f>P52-T52</f>
        <v>9054.7699999999895</v>
      </c>
      <c r="Y52" s="16"/>
      <c r="Z52" s="34">
        <f>IF(T52=0,0,X52/T52)</f>
        <v>-0.15911030217491984</v>
      </c>
    </row>
    <row r="53" spans="1:26" ht="15" thickTop="1" x14ac:dyDescent="0.3">
      <c r="A53" s="9"/>
      <c r="B53" s="9"/>
      <c r="C53" s="9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x14ac:dyDescent="0.3">
      <c r="A54" s="9"/>
      <c r="B54" s="9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" thickBot="1" x14ac:dyDescent="0.35">
      <c r="A55" s="10"/>
      <c r="B55" s="26" t="s">
        <v>293</v>
      </c>
      <c r="C55" s="26"/>
      <c r="D55" s="31">
        <f>SUM(D52:D54)</f>
        <v>-47853.990000000005</v>
      </c>
      <c r="E55" s="13"/>
      <c r="F55" s="33">
        <f>IF(D$12=0,0,D55/D$12)</f>
        <v>0</v>
      </c>
      <c r="G55" s="13"/>
      <c r="H55" s="31">
        <f>SUM(H52:H54)</f>
        <v>-56908.759999999995</v>
      </c>
      <c r="I55" s="13"/>
      <c r="J55" s="33">
        <f>IF(H$12=0,0,H55/H$12)</f>
        <v>0</v>
      </c>
      <c r="K55" s="16"/>
      <c r="L55" s="31">
        <f>+D55-H55</f>
        <v>9054.7699999999895</v>
      </c>
      <c r="M55" s="16"/>
      <c r="N55" s="33">
        <f>IF(H55=0,0,L55/H55)</f>
        <v>-0.15911030217491984</v>
      </c>
      <c r="O55" s="25"/>
      <c r="P55" s="31">
        <f>SUM(P52:P54)</f>
        <v>-47853.990000000005</v>
      </c>
      <c r="Q55" s="13"/>
      <c r="R55" s="33">
        <f>IF(P$12=0,0,P55/P$12)</f>
        <v>0</v>
      </c>
      <c r="S55" s="13"/>
      <c r="T55" s="31">
        <f>SUM(T52:T54)</f>
        <v>-56908.759999999995</v>
      </c>
      <c r="U55" s="13"/>
      <c r="V55" s="33">
        <f>IF(T$12=0,0,T55/T$12)</f>
        <v>0</v>
      </c>
      <c r="W55" s="16"/>
      <c r="X55" s="31">
        <f>+P55-T55</f>
        <v>9054.7699999999895</v>
      </c>
      <c r="Y55" s="16"/>
      <c r="Z55" s="33">
        <f>IF(T55=0,0,X55/T55)</f>
        <v>-0.15911030217491984</v>
      </c>
    </row>
    <row r="56" spans="1:26" ht="15" thickTop="1" x14ac:dyDescent="0.3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3">
      <c r="A57" s="9"/>
      <c r="B57" s="59">
        <v>44462.666945868055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3">
      <c r="A58" s="9"/>
      <c r="B58" s="57" t="s">
        <v>56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">
      <c r="A59" s="9"/>
      <c r="B59" s="61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8183.68</v>
      </c>
      <c r="E18" s="19"/>
      <c r="F18" s="35">
        <f t="shared" ref="F18:F27" si="0">IF(D$12=0,0,D18/D$12)</f>
        <v>0</v>
      </c>
      <c r="G18" s="19"/>
      <c r="H18" s="19">
        <f>SUM(OSRRefH22x_0)</f>
        <v>9379.26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-1195.58</v>
      </c>
      <c r="M18" s="4"/>
      <c r="N18" s="35">
        <f t="shared" ref="N18:N27" si="3">IF(H18=0,0,L18/H18)</f>
        <v>-0.12747061068783677</v>
      </c>
      <c r="O18" s="10"/>
      <c r="P18" s="19">
        <f>SUM(OSRRefP22x_0)</f>
        <v>8183.68</v>
      </c>
      <c r="Q18" s="19"/>
      <c r="R18" s="35">
        <f t="shared" ref="R18:R27" si="4">IF(P$12=0,0,P18/P$12)</f>
        <v>0</v>
      </c>
      <c r="S18" s="19"/>
      <c r="T18" s="19">
        <f>SUM(OSRRefT22x_0)</f>
        <v>9379.26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-1195.58</v>
      </c>
      <c r="Y18" s="4"/>
      <c r="Z18" s="35">
        <f t="shared" ref="Z18:Z27" si="7">IF(T18=0,0,X18/T18)</f>
        <v>-0.12747061068783677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2170.5699999999997</v>
      </c>
      <c r="E19" s="1"/>
      <c r="F19" s="5">
        <f t="shared" si="0"/>
        <v>0</v>
      </c>
      <c r="G19" s="1"/>
      <c r="H19" s="1">
        <f>SUM(OSRRefH22_0x_0)</f>
        <v>2556.7599999999998</v>
      </c>
      <c r="I19" s="1"/>
      <c r="J19" s="5">
        <f t="shared" si="1"/>
        <v>0</v>
      </c>
      <c r="K19" s="1"/>
      <c r="L19" s="1">
        <f t="shared" si="2"/>
        <v>-386.19000000000005</v>
      </c>
      <c r="M19" s="1"/>
      <c r="N19" s="5">
        <f t="shared" si="3"/>
        <v>-0.15104663715014319</v>
      </c>
      <c r="O19" s="14"/>
      <c r="P19" s="1">
        <f>SUM(OSRRefP22_0x_0)</f>
        <v>2170.5699999999997</v>
      </c>
      <c r="Q19" s="1"/>
      <c r="R19" s="5">
        <f t="shared" si="4"/>
        <v>0</v>
      </c>
      <c r="S19" s="1"/>
      <c r="T19" s="1">
        <f>SUM(OSRRefT22_0x_0)</f>
        <v>2556.7599999999998</v>
      </c>
      <c r="U19" s="1"/>
      <c r="V19" s="5">
        <f t="shared" si="5"/>
        <v>0</v>
      </c>
      <c r="W19" s="1"/>
      <c r="X19" s="1">
        <f t="shared" si="6"/>
        <v>-386.19000000000005</v>
      </c>
      <c r="Y19" s="1"/>
      <c r="Z19" s="5">
        <f t="shared" si="7"/>
        <v>-0.15104663715014319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318.92</v>
      </c>
      <c r="E20" s="3"/>
      <c r="F20" s="7">
        <f t="shared" si="0"/>
        <v>0</v>
      </c>
      <c r="G20" s="3"/>
      <c r="H20" s="8">
        <v>318.56</v>
      </c>
      <c r="I20" s="3"/>
      <c r="J20" s="7">
        <f t="shared" si="1"/>
        <v>0</v>
      </c>
      <c r="K20" s="3"/>
      <c r="L20" s="8">
        <f t="shared" si="2"/>
        <v>0.36000000000001364</v>
      </c>
      <c r="M20" s="3"/>
      <c r="N20" s="7">
        <f t="shared" si="3"/>
        <v>1.1300853842290735E-3</v>
      </c>
      <c r="O20" s="12"/>
      <c r="P20" s="8">
        <v>318.92</v>
      </c>
      <c r="Q20" s="3"/>
      <c r="R20" s="7">
        <f t="shared" si="4"/>
        <v>0</v>
      </c>
      <c r="S20" s="3"/>
      <c r="T20" s="8">
        <v>318.56</v>
      </c>
      <c r="U20" s="3"/>
      <c r="V20" s="7">
        <f t="shared" si="5"/>
        <v>0</v>
      </c>
      <c r="W20" s="3"/>
      <c r="X20" s="8">
        <f t="shared" si="6"/>
        <v>0.36000000000001364</v>
      </c>
      <c r="Y20" s="3"/>
      <c r="Z20" s="7">
        <f t="shared" si="7"/>
        <v>1.1300853842290735E-3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230.54</v>
      </c>
      <c r="E21" s="3"/>
      <c r="F21" s="7">
        <f t="shared" si="0"/>
        <v>0</v>
      </c>
      <c r="G21" s="3"/>
      <c r="H21" s="8">
        <v>288.58999999999997</v>
      </c>
      <c r="I21" s="3"/>
      <c r="J21" s="7">
        <f t="shared" si="1"/>
        <v>0</v>
      </c>
      <c r="K21" s="3"/>
      <c r="L21" s="8">
        <f t="shared" si="2"/>
        <v>-58.049999999999983</v>
      </c>
      <c r="M21" s="3"/>
      <c r="N21" s="7">
        <f t="shared" si="3"/>
        <v>-0.20115042101250905</v>
      </c>
      <c r="O21" s="12"/>
      <c r="P21" s="8">
        <v>230.54</v>
      </c>
      <c r="Q21" s="3"/>
      <c r="R21" s="7">
        <f t="shared" si="4"/>
        <v>0</v>
      </c>
      <c r="S21" s="3"/>
      <c r="T21" s="8">
        <v>288.58999999999997</v>
      </c>
      <c r="U21" s="3"/>
      <c r="V21" s="7">
        <f t="shared" si="5"/>
        <v>0</v>
      </c>
      <c r="W21" s="3"/>
      <c r="X21" s="8">
        <f t="shared" si="6"/>
        <v>-58.049999999999983</v>
      </c>
      <c r="Y21" s="3"/>
      <c r="Z21" s="7">
        <f t="shared" si="7"/>
        <v>-0.20115042101250905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696.16</v>
      </c>
      <c r="E22" s="3"/>
      <c r="F22" s="7">
        <f t="shared" si="0"/>
        <v>0</v>
      </c>
      <c r="G22" s="3"/>
      <c r="H22" s="8">
        <v>696.16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696.16</v>
      </c>
      <c r="Q22" s="3"/>
      <c r="R22" s="7">
        <f t="shared" si="4"/>
        <v>0</v>
      </c>
      <c r="S22" s="3"/>
      <c r="T22" s="8">
        <v>696.16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10.84</v>
      </c>
      <c r="E23" s="3"/>
      <c r="F23" s="7">
        <f t="shared" si="0"/>
        <v>0</v>
      </c>
      <c r="G23" s="3"/>
      <c r="H23" s="8">
        <v>10.83</v>
      </c>
      <c r="I23" s="3"/>
      <c r="J23" s="7">
        <f t="shared" si="1"/>
        <v>0</v>
      </c>
      <c r="K23" s="3"/>
      <c r="L23" s="8">
        <f t="shared" si="2"/>
        <v>9.9999999999997868E-3</v>
      </c>
      <c r="M23" s="3"/>
      <c r="N23" s="7">
        <f t="shared" si="3"/>
        <v>9.2336103416433861E-4</v>
      </c>
      <c r="O23" s="12"/>
      <c r="P23" s="8">
        <v>10.84</v>
      </c>
      <c r="Q23" s="3"/>
      <c r="R23" s="7">
        <f t="shared" si="4"/>
        <v>0</v>
      </c>
      <c r="S23" s="3"/>
      <c r="T23" s="8">
        <v>10.83</v>
      </c>
      <c r="U23" s="3"/>
      <c r="V23" s="7">
        <f t="shared" si="5"/>
        <v>0</v>
      </c>
      <c r="W23" s="3"/>
      <c r="X23" s="8">
        <f t="shared" si="6"/>
        <v>9.9999999999997868E-3</v>
      </c>
      <c r="Y23" s="3"/>
      <c r="Z23" s="7">
        <f t="shared" si="7"/>
        <v>9.2336103416433861E-4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456.93</v>
      </c>
      <c r="E24" s="3"/>
      <c r="F24" s="7">
        <f t="shared" si="0"/>
        <v>0</v>
      </c>
      <c r="G24" s="3"/>
      <c r="H24" s="8">
        <v>694.91</v>
      </c>
      <c r="I24" s="3"/>
      <c r="J24" s="7">
        <f t="shared" si="1"/>
        <v>0</v>
      </c>
      <c r="K24" s="3"/>
      <c r="L24" s="8">
        <f t="shared" si="2"/>
        <v>-237.97999999999996</v>
      </c>
      <c r="M24" s="3"/>
      <c r="N24" s="7">
        <f t="shared" si="3"/>
        <v>-0.34246161373415257</v>
      </c>
      <c r="O24" s="12"/>
      <c r="P24" s="8">
        <v>456.93</v>
      </c>
      <c r="Q24" s="3"/>
      <c r="R24" s="7">
        <f t="shared" si="4"/>
        <v>0</v>
      </c>
      <c r="S24" s="3"/>
      <c r="T24" s="8">
        <v>694.91</v>
      </c>
      <c r="U24" s="3"/>
      <c r="V24" s="7">
        <f t="shared" si="5"/>
        <v>0</v>
      </c>
      <c r="W24" s="3"/>
      <c r="X24" s="8">
        <f t="shared" si="6"/>
        <v>-237.97999999999996</v>
      </c>
      <c r="Y24" s="3"/>
      <c r="Z24" s="7">
        <f t="shared" si="7"/>
        <v>-0.34246161373415257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88.46</v>
      </c>
      <c r="E25" s="3"/>
      <c r="F25" s="7">
        <f t="shared" si="0"/>
        <v>0</v>
      </c>
      <c r="G25" s="3"/>
      <c r="H25" s="8">
        <v>209.99</v>
      </c>
      <c r="I25" s="3"/>
      <c r="J25" s="7">
        <f t="shared" si="1"/>
        <v>0</v>
      </c>
      <c r="K25" s="3"/>
      <c r="L25" s="8">
        <f t="shared" si="2"/>
        <v>-121.53000000000002</v>
      </c>
      <c r="M25" s="3"/>
      <c r="N25" s="7">
        <f t="shared" si="3"/>
        <v>-0.57874184484975477</v>
      </c>
      <c r="O25" s="12"/>
      <c r="P25" s="8">
        <v>88.46</v>
      </c>
      <c r="Q25" s="3"/>
      <c r="R25" s="7">
        <f t="shared" si="4"/>
        <v>0</v>
      </c>
      <c r="S25" s="3"/>
      <c r="T25" s="8">
        <v>209.99</v>
      </c>
      <c r="U25" s="3"/>
      <c r="V25" s="7">
        <f t="shared" si="5"/>
        <v>0</v>
      </c>
      <c r="W25" s="3"/>
      <c r="X25" s="8">
        <f t="shared" si="6"/>
        <v>-121.53000000000002</v>
      </c>
      <c r="Y25" s="3"/>
      <c r="Z25" s="7">
        <f t="shared" si="7"/>
        <v>-0.57874184484975477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193.72</v>
      </c>
      <c r="E26" s="3"/>
      <c r="F26" s="7">
        <f t="shared" si="0"/>
        <v>0</v>
      </c>
      <c r="G26" s="3"/>
      <c r="H26" s="8">
        <v>193.72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193.72</v>
      </c>
      <c r="Q26" s="3"/>
      <c r="R26" s="7">
        <f t="shared" si="4"/>
        <v>0</v>
      </c>
      <c r="S26" s="3"/>
      <c r="T26" s="8">
        <v>193.72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175</v>
      </c>
      <c r="E27" s="3"/>
      <c r="F27" s="7">
        <f t="shared" si="0"/>
        <v>0</v>
      </c>
      <c r="G27" s="3"/>
      <c r="H27" s="8">
        <v>144</v>
      </c>
      <c r="I27" s="3"/>
      <c r="J27" s="7">
        <f t="shared" si="1"/>
        <v>0</v>
      </c>
      <c r="K27" s="3"/>
      <c r="L27" s="8">
        <f t="shared" si="2"/>
        <v>31</v>
      </c>
      <c r="M27" s="3"/>
      <c r="N27" s="7">
        <f t="shared" si="3"/>
        <v>0.21527777777777779</v>
      </c>
      <c r="O27" s="12"/>
      <c r="P27" s="8">
        <v>175</v>
      </c>
      <c r="Q27" s="3"/>
      <c r="R27" s="7">
        <f t="shared" si="4"/>
        <v>0</v>
      </c>
      <c r="S27" s="3"/>
      <c r="T27" s="8">
        <v>144</v>
      </c>
      <c r="U27" s="3"/>
      <c r="V27" s="7">
        <f t="shared" si="5"/>
        <v>0</v>
      </c>
      <c r="W27" s="3"/>
      <c r="X27" s="8">
        <f t="shared" si="6"/>
        <v>31</v>
      </c>
      <c r="Y27" s="3"/>
      <c r="Z27" s="7">
        <f t="shared" si="7"/>
        <v>0.21527777777777779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5039.75</v>
      </c>
      <c r="E28" s="1"/>
      <c r="F28" s="5">
        <f t="shared" ref="F28:F34" si="8">IF(D$12=0,0,D28/D$12)</f>
        <v>0</v>
      </c>
      <c r="G28" s="1"/>
      <c r="H28" s="1">
        <f>SUM(OSRRefH22_1x_0)</f>
        <v>5039.75</v>
      </c>
      <c r="I28" s="1"/>
      <c r="J28" s="5">
        <f t="shared" ref="J28:J34" si="9">IF(H$12=0,0,H28/H$12)</f>
        <v>0</v>
      </c>
      <c r="K28" s="1"/>
      <c r="L28" s="1">
        <f t="shared" ref="L28:L34" si="10">+D28-H28</f>
        <v>0</v>
      </c>
      <c r="M28" s="1"/>
      <c r="N28" s="5">
        <f t="shared" ref="N28:N34" si="11">IF(H28=0,0,L28/H28)</f>
        <v>0</v>
      </c>
      <c r="O28" s="14"/>
      <c r="P28" s="1">
        <f>SUM(OSRRefP22_1x_0)</f>
        <v>5039.75</v>
      </c>
      <c r="Q28" s="1"/>
      <c r="R28" s="5">
        <f t="shared" ref="R28:R34" si="12">IF(P$12=0,0,P28/P$12)</f>
        <v>0</v>
      </c>
      <c r="S28" s="1"/>
      <c r="T28" s="1">
        <f>SUM(OSRRefT22_1x_0)</f>
        <v>5039.75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0</v>
      </c>
      <c r="Y28" s="1"/>
      <c r="Z28" s="5">
        <f t="shared" ref="Z28:Z34" si="15">IF(T28=0,0,X28/T28)</f>
        <v>0</v>
      </c>
    </row>
    <row r="29" spans="1:26" s="24" customFormat="1" hidden="1" outlineLevel="2" x14ac:dyDescent="0.3">
      <c r="A29" s="27"/>
      <c r="B29" s="12" t="str">
        <f>CONCATENATE("          ", "6002", " - ", "STAFF SALARIES")</f>
        <v xml:space="preserve">          6002 - STAFF SALARIES</v>
      </c>
      <c r="C29" s="12"/>
      <c r="D29" s="8">
        <v>5039.75</v>
      </c>
      <c r="E29" s="3"/>
      <c r="F29" s="7">
        <f t="shared" si="8"/>
        <v>0</v>
      </c>
      <c r="G29" s="3"/>
      <c r="H29" s="8">
        <v>5039.75</v>
      </c>
      <c r="I29" s="3"/>
      <c r="J29" s="7">
        <f t="shared" si="9"/>
        <v>0</v>
      </c>
      <c r="K29" s="3"/>
      <c r="L29" s="8">
        <f t="shared" si="10"/>
        <v>0</v>
      </c>
      <c r="M29" s="3"/>
      <c r="N29" s="7">
        <f t="shared" si="11"/>
        <v>0</v>
      </c>
      <c r="O29" s="12"/>
      <c r="P29" s="8">
        <v>5039.75</v>
      </c>
      <c r="Q29" s="3"/>
      <c r="R29" s="7">
        <f t="shared" si="12"/>
        <v>0</v>
      </c>
      <c r="S29" s="3"/>
      <c r="T29" s="8">
        <v>5039.75</v>
      </c>
      <c r="U29" s="3"/>
      <c r="V29" s="7">
        <f t="shared" si="13"/>
        <v>0</v>
      </c>
      <c r="W29" s="3"/>
      <c r="X29" s="8">
        <f t="shared" si="14"/>
        <v>0</v>
      </c>
      <c r="Y29" s="3"/>
      <c r="Z29" s="7">
        <f t="shared" si="15"/>
        <v>0</v>
      </c>
    </row>
    <row r="30" spans="1:26" s="29" customFormat="1" outlineLevel="1" collapsed="1" x14ac:dyDescent="0.3">
      <c r="A30" s="28"/>
      <c r="B30" s="14" t="str">
        <f>CONCATENATE("     ","Insurance                                         ")</f>
        <v xml:space="preserve">     Insurance                                         </v>
      </c>
      <c r="C30" s="14"/>
      <c r="D30" s="1">
        <f>SUM(OSRRefD22_2x_0)</f>
        <v>33.380000000000003</v>
      </c>
      <c r="E30" s="1"/>
      <c r="F30" s="5">
        <f t="shared" si="8"/>
        <v>0</v>
      </c>
      <c r="G30" s="1"/>
      <c r="H30" s="1">
        <f>SUM(OSRRefH22_2x_0)</f>
        <v>24.56</v>
      </c>
      <c r="I30" s="1"/>
      <c r="J30" s="5">
        <f t="shared" si="9"/>
        <v>0</v>
      </c>
      <c r="K30" s="1"/>
      <c r="L30" s="1">
        <f t="shared" si="10"/>
        <v>8.8200000000000038</v>
      </c>
      <c r="M30" s="1"/>
      <c r="N30" s="5">
        <f t="shared" si="11"/>
        <v>0.3591205211726386</v>
      </c>
      <c r="O30" s="14"/>
      <c r="P30" s="1">
        <f>SUM(OSRRefP22_2x_0)</f>
        <v>33.380000000000003</v>
      </c>
      <c r="Q30" s="1"/>
      <c r="R30" s="5">
        <f t="shared" si="12"/>
        <v>0</v>
      </c>
      <c r="S30" s="1"/>
      <c r="T30" s="1">
        <f>SUM(OSRRefT22_2x_0)</f>
        <v>24.56</v>
      </c>
      <c r="U30" s="1"/>
      <c r="V30" s="5">
        <f t="shared" si="13"/>
        <v>0</v>
      </c>
      <c r="W30" s="1"/>
      <c r="X30" s="1">
        <f t="shared" si="14"/>
        <v>8.8200000000000038</v>
      </c>
      <c r="Y30" s="1"/>
      <c r="Z30" s="5">
        <f t="shared" si="15"/>
        <v>0.3591205211726386</v>
      </c>
    </row>
    <row r="31" spans="1:26" s="24" customFormat="1" hidden="1" outlineLevel="2" x14ac:dyDescent="0.3">
      <c r="A31" s="27"/>
      <c r="B31" s="12" t="str">
        <f>CONCATENATE("          ", "6314", " - ", "LIABILITY INSURANCE")</f>
        <v xml:space="preserve">          6314 - LIABILITY INSURANCE</v>
      </c>
      <c r="C31" s="12"/>
      <c r="D31" s="8">
        <v>33.380000000000003</v>
      </c>
      <c r="E31" s="3"/>
      <c r="F31" s="7">
        <f t="shared" si="8"/>
        <v>0</v>
      </c>
      <c r="G31" s="3"/>
      <c r="H31" s="8">
        <v>24.56</v>
      </c>
      <c r="I31" s="3"/>
      <c r="J31" s="7">
        <f t="shared" si="9"/>
        <v>0</v>
      </c>
      <c r="K31" s="3"/>
      <c r="L31" s="8">
        <f t="shared" si="10"/>
        <v>8.8200000000000038</v>
      </c>
      <c r="M31" s="3"/>
      <c r="N31" s="7">
        <f t="shared" si="11"/>
        <v>0.3591205211726386</v>
      </c>
      <c r="O31" s="12"/>
      <c r="P31" s="8">
        <v>33.380000000000003</v>
      </c>
      <c r="Q31" s="3"/>
      <c r="R31" s="7">
        <f t="shared" si="12"/>
        <v>0</v>
      </c>
      <c r="S31" s="3"/>
      <c r="T31" s="8">
        <v>24.56</v>
      </c>
      <c r="U31" s="3"/>
      <c r="V31" s="7">
        <f t="shared" si="13"/>
        <v>0</v>
      </c>
      <c r="W31" s="3"/>
      <c r="X31" s="8">
        <f t="shared" si="14"/>
        <v>8.8200000000000038</v>
      </c>
      <c r="Y31" s="3"/>
      <c r="Z31" s="7">
        <f t="shared" si="15"/>
        <v>0.3591205211726386</v>
      </c>
    </row>
    <row r="32" spans="1:26" s="29" customFormat="1" outlineLevel="1" collapsed="1" x14ac:dyDescent="0.3">
      <c r="A32" s="28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891.98</v>
      </c>
      <c r="E32" s="1"/>
      <c r="F32" s="5">
        <f t="shared" si="8"/>
        <v>0</v>
      </c>
      <c r="G32" s="1"/>
      <c r="H32" s="1">
        <f>SUM(OSRRefH22_3x_0)</f>
        <v>1685.19</v>
      </c>
      <c r="I32" s="1"/>
      <c r="J32" s="5">
        <f t="shared" si="9"/>
        <v>0</v>
      </c>
      <c r="K32" s="1"/>
      <c r="L32" s="1">
        <f t="shared" si="10"/>
        <v>-793.21</v>
      </c>
      <c r="M32" s="1"/>
      <c r="N32" s="5">
        <f t="shared" si="11"/>
        <v>-0.47069469911404649</v>
      </c>
      <c r="O32" s="14"/>
      <c r="P32" s="1">
        <f>SUM(OSRRefP22_3x_0)</f>
        <v>891.98</v>
      </c>
      <c r="Q32" s="1"/>
      <c r="R32" s="5">
        <f t="shared" si="12"/>
        <v>0</v>
      </c>
      <c r="S32" s="1"/>
      <c r="T32" s="1">
        <f>SUM(OSRRefT22_3x_0)</f>
        <v>1685.19</v>
      </c>
      <c r="U32" s="1"/>
      <c r="V32" s="5">
        <f t="shared" si="13"/>
        <v>0</v>
      </c>
      <c r="W32" s="1"/>
      <c r="X32" s="1">
        <f t="shared" si="14"/>
        <v>-793.21</v>
      </c>
      <c r="Y32" s="1"/>
      <c r="Z32" s="5">
        <f t="shared" si="15"/>
        <v>-0.47069469911404649</v>
      </c>
    </row>
    <row r="33" spans="1:26" s="24" customFormat="1" hidden="1" outlineLevel="2" x14ac:dyDescent="0.3">
      <c r="A33" s="27"/>
      <c r="B33" s="12" t="str">
        <f>CONCATENATE("          ", "6373", " - ", "MAINTENANCE CONTRACTS")</f>
        <v xml:space="preserve">          6373 - MAINTENANCE CONTRACTS</v>
      </c>
      <c r="C33" s="12"/>
      <c r="D33" s="8">
        <v>891.98</v>
      </c>
      <c r="E33" s="3"/>
      <c r="F33" s="7">
        <f t="shared" si="8"/>
        <v>0</v>
      </c>
      <c r="G33" s="3"/>
      <c r="H33" s="8">
        <v>866</v>
      </c>
      <c r="I33" s="3"/>
      <c r="J33" s="7">
        <f t="shared" si="9"/>
        <v>0</v>
      </c>
      <c r="K33" s="3"/>
      <c r="L33" s="8">
        <f t="shared" si="10"/>
        <v>25.980000000000018</v>
      </c>
      <c r="M33" s="3"/>
      <c r="N33" s="7">
        <f t="shared" si="11"/>
        <v>3.000000000000002E-2</v>
      </c>
      <c r="O33" s="12"/>
      <c r="P33" s="8">
        <v>891.98</v>
      </c>
      <c r="Q33" s="3"/>
      <c r="R33" s="7">
        <f t="shared" si="12"/>
        <v>0</v>
      </c>
      <c r="S33" s="3"/>
      <c r="T33" s="8">
        <v>866</v>
      </c>
      <c r="U33" s="3"/>
      <c r="V33" s="7">
        <f t="shared" si="13"/>
        <v>0</v>
      </c>
      <c r="W33" s="3"/>
      <c r="X33" s="8">
        <f t="shared" si="14"/>
        <v>25.980000000000018</v>
      </c>
      <c r="Y33" s="3"/>
      <c r="Z33" s="7">
        <f t="shared" si="15"/>
        <v>3.000000000000002E-2</v>
      </c>
    </row>
    <row r="34" spans="1:26" s="24" customFormat="1" hidden="1" outlineLevel="2" x14ac:dyDescent="0.3">
      <c r="A34" s="27"/>
      <c r="B34" s="12" t="str">
        <f>CONCATENATE("          ", "6375", " - ", "OUTSIDE REPAIRS &amp; MAINTENANCE")</f>
        <v xml:space="preserve">          6375 - OUTSIDE REPAIRS &amp; MAINTENANCE</v>
      </c>
      <c r="C34" s="12"/>
      <c r="D34" s="8">
        <v>0</v>
      </c>
      <c r="E34" s="3"/>
      <c r="F34" s="7">
        <f t="shared" si="8"/>
        <v>0</v>
      </c>
      <c r="G34" s="3"/>
      <c r="H34" s="8">
        <v>819.19</v>
      </c>
      <c r="I34" s="3"/>
      <c r="J34" s="7">
        <f t="shared" si="9"/>
        <v>0</v>
      </c>
      <c r="K34" s="3"/>
      <c r="L34" s="8">
        <f t="shared" si="10"/>
        <v>-819.19</v>
      </c>
      <c r="M34" s="3"/>
      <c r="N34" s="7">
        <f t="shared" si="11"/>
        <v>-1</v>
      </c>
      <c r="O34" s="12"/>
      <c r="P34" s="8">
        <v>0</v>
      </c>
      <c r="Q34" s="3"/>
      <c r="R34" s="7">
        <f t="shared" si="12"/>
        <v>0</v>
      </c>
      <c r="S34" s="3"/>
      <c r="T34" s="8">
        <v>819.19</v>
      </c>
      <c r="U34" s="3"/>
      <c r="V34" s="7">
        <f t="shared" si="13"/>
        <v>0</v>
      </c>
      <c r="W34" s="3"/>
      <c r="X34" s="8">
        <f t="shared" si="14"/>
        <v>-819.19</v>
      </c>
      <c r="Y34" s="3"/>
      <c r="Z34" s="7">
        <f t="shared" si="15"/>
        <v>-1</v>
      </c>
    </row>
    <row r="35" spans="1:26" s="29" customFormat="1" outlineLevel="1" collapsed="1" x14ac:dyDescent="0.3">
      <c r="A35" s="28"/>
      <c r="B35" s="14" t="str">
        <f>CONCATENATE("     ","Telephone/Data Lines                              ")</f>
        <v xml:space="preserve">     Telephone/Data Lines                              </v>
      </c>
      <c r="C35" s="14"/>
      <c r="D35" s="1">
        <f>SUM(OSRRefD22_4x_0)</f>
        <v>48</v>
      </c>
      <c r="E35" s="1"/>
      <c r="F35" s="5">
        <f t="shared" ref="F35:F36" si="16">IF(D$12=0,0,D35/D$12)</f>
        <v>0</v>
      </c>
      <c r="G35" s="1"/>
      <c r="H35" s="1">
        <f>SUM(OSRRefH22_4x_0)</f>
        <v>73</v>
      </c>
      <c r="I35" s="1"/>
      <c r="J35" s="5">
        <f t="shared" ref="J35:J36" si="17">IF(H$12=0,0,H35/H$12)</f>
        <v>0</v>
      </c>
      <c r="K35" s="1"/>
      <c r="L35" s="1">
        <f t="shared" ref="L35:L36" si="18">+D35-H35</f>
        <v>-25</v>
      </c>
      <c r="M35" s="1"/>
      <c r="N35" s="5">
        <f t="shared" ref="N35:N36" si="19">IF(H35=0,0,L35/H35)</f>
        <v>-0.34246575342465752</v>
      </c>
      <c r="O35" s="14"/>
      <c r="P35" s="1">
        <f>SUM(OSRRefP22_4x_0)</f>
        <v>48</v>
      </c>
      <c r="Q35" s="1"/>
      <c r="R35" s="5">
        <f t="shared" ref="R35:R36" si="20">IF(P$12=0,0,P35/P$12)</f>
        <v>0</v>
      </c>
      <c r="S35" s="1"/>
      <c r="T35" s="1">
        <f>SUM(OSRRefT22_4x_0)</f>
        <v>73</v>
      </c>
      <c r="U35" s="1"/>
      <c r="V35" s="5">
        <f t="shared" ref="V35:V36" si="21">IF(T$12=0,0,T35/T$12)</f>
        <v>0</v>
      </c>
      <c r="W35" s="1"/>
      <c r="X35" s="1">
        <f t="shared" ref="X35:X36" si="22">+P35-T35</f>
        <v>-25</v>
      </c>
      <c r="Y35" s="1"/>
      <c r="Z35" s="5">
        <f t="shared" ref="Z35:Z36" si="23">IF(T35=0,0,X35/T35)</f>
        <v>-0.34246575342465752</v>
      </c>
    </row>
    <row r="36" spans="1:26" s="24" customFormat="1" hidden="1" outlineLevel="2" x14ac:dyDescent="0.3">
      <c r="A36" s="27"/>
      <c r="B36" s="12" t="str">
        <f>CONCATENATE("          ", "6309", " - ", "TELEPHONE")</f>
        <v xml:space="preserve">          6309 - TELEPHONE</v>
      </c>
      <c r="C36" s="12"/>
      <c r="D36" s="8">
        <v>48</v>
      </c>
      <c r="E36" s="3"/>
      <c r="F36" s="7">
        <f t="shared" si="16"/>
        <v>0</v>
      </c>
      <c r="G36" s="3"/>
      <c r="H36" s="8">
        <v>73</v>
      </c>
      <c r="I36" s="3"/>
      <c r="J36" s="7">
        <f t="shared" si="17"/>
        <v>0</v>
      </c>
      <c r="K36" s="3"/>
      <c r="L36" s="8">
        <f t="shared" si="18"/>
        <v>-25</v>
      </c>
      <c r="M36" s="3"/>
      <c r="N36" s="7">
        <f t="shared" si="19"/>
        <v>-0.34246575342465752</v>
      </c>
      <c r="O36" s="12"/>
      <c r="P36" s="8">
        <v>48</v>
      </c>
      <c r="Q36" s="3"/>
      <c r="R36" s="7">
        <f t="shared" si="20"/>
        <v>0</v>
      </c>
      <c r="S36" s="3"/>
      <c r="T36" s="8">
        <v>73</v>
      </c>
      <c r="U36" s="3"/>
      <c r="V36" s="7">
        <f t="shared" si="21"/>
        <v>0</v>
      </c>
      <c r="W36" s="3"/>
      <c r="X36" s="8">
        <f t="shared" si="22"/>
        <v>-25</v>
      </c>
      <c r="Y36" s="3"/>
      <c r="Z36" s="7">
        <f t="shared" si="23"/>
        <v>-0.34246575342465752</v>
      </c>
    </row>
    <row r="37" spans="1:26" s="53" customFormat="1" x14ac:dyDescent="0.3">
      <c r="A37" s="37"/>
      <c r="B37" s="37"/>
      <c r="C37" s="37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3">
      <c r="A38" s="10"/>
      <c r="B38" s="25" t="s">
        <v>292</v>
      </c>
      <c r="C38" s="10"/>
      <c r="D38" s="4">
        <f>SUM(0)</f>
        <v>0</v>
      </c>
      <c r="E38" s="4"/>
      <c r="F38" s="11">
        <f>IF(D$12=0,0,D38/D$12)</f>
        <v>0</v>
      </c>
      <c r="G38" s="4"/>
      <c r="H38" s="4">
        <f>SUM(0)</f>
        <v>0</v>
      </c>
      <c r="I38" s="4"/>
      <c r="J38" s="11">
        <f>IF(H$12=0,0,H38/H$12)</f>
        <v>0</v>
      </c>
      <c r="K38" s="4"/>
      <c r="L38" s="4">
        <f>+D38-H38</f>
        <v>0</v>
      </c>
      <c r="M38" s="4"/>
      <c r="N38" s="11">
        <f>IF(H38=0,0,L38/H38)</f>
        <v>0</v>
      </c>
      <c r="O38" s="10"/>
      <c r="P38" s="4">
        <f>SUM(0)</f>
        <v>0</v>
      </c>
      <c r="Q38" s="4"/>
      <c r="R38" s="11">
        <f>IF(P$12=0,0,P38/P$12)</f>
        <v>0</v>
      </c>
      <c r="S38" s="4"/>
      <c r="T38" s="4">
        <f>SUM(0)</f>
        <v>0</v>
      </c>
      <c r="U38" s="4"/>
      <c r="V38" s="11">
        <f>IF(T$12=0,0,T38/T$12)</f>
        <v>0</v>
      </c>
      <c r="W38" s="4"/>
      <c r="X38" s="4">
        <f>+P38-T38</f>
        <v>0</v>
      </c>
      <c r="Y38" s="4"/>
      <c r="Z38" s="11">
        <f>IF(T38=0,0,X38/T38)</f>
        <v>0</v>
      </c>
    </row>
    <row r="39" spans="1:26" x14ac:dyDescent="0.3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3" customFormat="1" x14ac:dyDescent="0.3">
      <c r="A40" s="10"/>
      <c r="B40" s="26" t="s">
        <v>276</v>
      </c>
      <c r="C40" s="26"/>
      <c r="D40" s="20">
        <f>+D16-D18+D38</f>
        <v>-8183.68</v>
      </c>
      <c r="E40" s="13"/>
      <c r="F40" s="21">
        <f>IF(D$12=0,0,D40/D$12)</f>
        <v>0</v>
      </c>
      <c r="G40" s="13"/>
      <c r="H40" s="20">
        <f>+H16-H18+H38</f>
        <v>-9379.26</v>
      </c>
      <c r="I40" s="13"/>
      <c r="J40" s="21">
        <f>IF(H$12=0,0,H40/H$12)</f>
        <v>0</v>
      </c>
      <c r="K40" s="16"/>
      <c r="L40" s="20">
        <f>+D40-H40</f>
        <v>1195.58</v>
      </c>
      <c r="M40" s="16"/>
      <c r="N40" s="21">
        <f>IF(H40=0,0,L40/H40)</f>
        <v>-0.12747061068783677</v>
      </c>
      <c r="O40" s="25"/>
      <c r="P40" s="20">
        <f>+P16-P18+P38</f>
        <v>-8183.68</v>
      </c>
      <c r="Q40" s="13"/>
      <c r="R40" s="21">
        <f>IF(P$12=0,0,P40/P$12)</f>
        <v>0</v>
      </c>
      <c r="S40" s="13"/>
      <c r="T40" s="20">
        <f>+T16-T18+T38</f>
        <v>-9379.26</v>
      </c>
      <c r="U40" s="13"/>
      <c r="V40" s="21">
        <f>IF(T$12=0,0,T40/T$12)</f>
        <v>0</v>
      </c>
      <c r="W40" s="16"/>
      <c r="X40" s="20">
        <f>+P40-T40</f>
        <v>1195.58</v>
      </c>
      <c r="Y40" s="16"/>
      <c r="Z40" s="21">
        <f>IF(T40=0,0,X40/T40)</f>
        <v>-0.12747061068783677</v>
      </c>
    </row>
    <row r="41" spans="1:26" x14ac:dyDescent="0.3">
      <c r="A41" s="9"/>
      <c r="B41" s="10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3">
      <c r="A42" s="51"/>
      <c r="B42" s="10" t="s">
        <v>127</v>
      </c>
      <c r="C42" s="10"/>
      <c r="D42" s="4"/>
      <c r="E42" s="4"/>
      <c r="F42" s="11">
        <f>IF(D$12=0,0,D42/D$12)</f>
        <v>0</v>
      </c>
      <c r="G42" s="4"/>
      <c r="H42" s="4"/>
      <c r="I42" s="4"/>
      <c r="J42" s="11">
        <f>IF(H$12=0,0,H42/H$12)</f>
        <v>0</v>
      </c>
      <c r="K42" s="4"/>
      <c r="L42" s="4">
        <f>+D42-H42</f>
        <v>0</v>
      </c>
      <c r="M42" s="4"/>
      <c r="N42" s="11">
        <f>IF(H42=0,0,L42/H42)</f>
        <v>0</v>
      </c>
      <c r="O42" s="10"/>
      <c r="P42" s="4"/>
      <c r="Q42" s="4"/>
      <c r="R42" s="11">
        <f>IF(P$12=0,0,P42/P$12)</f>
        <v>0</v>
      </c>
      <c r="S42" s="4"/>
      <c r="T42" s="4"/>
      <c r="U42" s="4"/>
      <c r="V42" s="11">
        <f>IF(T$12=0,0,T42/T$12)</f>
        <v>0</v>
      </c>
      <c r="W42" s="4"/>
      <c r="X42" s="4">
        <f>+P42-T42</f>
        <v>0</v>
      </c>
      <c r="Y42" s="4"/>
      <c r="Z42" s="11">
        <f>IF(T42=0,0,X42/T42)</f>
        <v>0</v>
      </c>
    </row>
    <row r="43" spans="1:26" x14ac:dyDescent="0.3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ht="15" thickBot="1" x14ac:dyDescent="0.35">
      <c r="A44" s="10"/>
      <c r="B44" s="26" t="s">
        <v>125</v>
      </c>
      <c r="C44" s="26"/>
      <c r="D44" s="36">
        <f>+D40-D42</f>
        <v>-8183.68</v>
      </c>
      <c r="E44" s="13"/>
      <c r="F44" s="34">
        <f>IF(D$12=0,0,D44/D$12)</f>
        <v>0</v>
      </c>
      <c r="G44" s="13"/>
      <c r="H44" s="36">
        <f>+H40-H42</f>
        <v>-9379.26</v>
      </c>
      <c r="I44" s="13"/>
      <c r="J44" s="34">
        <f>IF(H$12=0,0,H44/H$12)</f>
        <v>0</v>
      </c>
      <c r="K44" s="16"/>
      <c r="L44" s="36">
        <f>D44-H44</f>
        <v>1195.58</v>
      </c>
      <c r="M44" s="16"/>
      <c r="N44" s="34">
        <f>IF(H44=0,0,L44/H44)</f>
        <v>-0.12747061068783677</v>
      </c>
      <c r="O44" s="25"/>
      <c r="P44" s="36">
        <f>+P40-P42</f>
        <v>-8183.68</v>
      </c>
      <c r="Q44" s="13"/>
      <c r="R44" s="34">
        <f>IF(P$12=0,0,P44/P$12)</f>
        <v>0</v>
      </c>
      <c r="S44" s="13"/>
      <c r="T44" s="36">
        <f>+T40-T42</f>
        <v>-9379.26</v>
      </c>
      <c r="U44" s="13"/>
      <c r="V44" s="34">
        <f>IF(T$12=0,0,T44/T$12)</f>
        <v>0</v>
      </c>
      <c r="W44" s="16"/>
      <c r="X44" s="36">
        <f>P44-T44</f>
        <v>1195.58</v>
      </c>
      <c r="Y44" s="16"/>
      <c r="Z44" s="34">
        <f>IF(T44=0,0,X44/T44)</f>
        <v>-0.12747061068783677</v>
      </c>
    </row>
    <row r="45" spans="1:26" ht="15" thickTop="1" x14ac:dyDescent="0.3">
      <c r="A45" s="9"/>
      <c r="B45" s="9"/>
      <c r="C45" s="9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x14ac:dyDescent="0.3">
      <c r="A46" s="9"/>
      <c r="B46" s="9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23" customFormat="1" ht="15" thickBot="1" x14ac:dyDescent="0.35">
      <c r="A47" s="10"/>
      <c r="B47" s="26" t="s">
        <v>293</v>
      </c>
      <c r="C47" s="26"/>
      <c r="D47" s="31">
        <f>SUM(D44:D46)</f>
        <v>-8183.68</v>
      </c>
      <c r="E47" s="13"/>
      <c r="F47" s="33">
        <f>IF(D$12=0,0,D47/D$12)</f>
        <v>0</v>
      </c>
      <c r="G47" s="13"/>
      <c r="H47" s="31">
        <f>SUM(H44:H46)</f>
        <v>-9379.26</v>
      </c>
      <c r="I47" s="13"/>
      <c r="J47" s="33">
        <f>IF(H$12=0,0,H47/H$12)</f>
        <v>0</v>
      </c>
      <c r="K47" s="16"/>
      <c r="L47" s="31">
        <f>+D47-H47</f>
        <v>1195.58</v>
      </c>
      <c r="M47" s="16"/>
      <c r="N47" s="33">
        <f>IF(H47=0,0,L47/H47)</f>
        <v>-0.12747061068783677</v>
      </c>
      <c r="O47" s="25"/>
      <c r="P47" s="31">
        <f>SUM(P44:P46)</f>
        <v>-8183.68</v>
      </c>
      <c r="Q47" s="13"/>
      <c r="R47" s="33">
        <f>IF(P$12=0,0,P47/P$12)</f>
        <v>0</v>
      </c>
      <c r="S47" s="13"/>
      <c r="T47" s="31">
        <f>SUM(T44:T46)</f>
        <v>-9379.26</v>
      </c>
      <c r="U47" s="13"/>
      <c r="V47" s="33">
        <f>IF(T$12=0,0,T47/T$12)</f>
        <v>0</v>
      </c>
      <c r="W47" s="16"/>
      <c r="X47" s="31">
        <f>+P47-T47</f>
        <v>1195.58</v>
      </c>
      <c r="Y47" s="16"/>
      <c r="Z47" s="33">
        <f>IF(T47=0,0,X47/T47)</f>
        <v>-0.12747061068783677</v>
      </c>
    </row>
    <row r="48" spans="1:26" ht="15" thickTop="1" x14ac:dyDescent="0.3">
      <c r="A48" s="9"/>
      <c r="C48" s="9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3">
      <c r="A49" s="9"/>
      <c r="B49" s="59">
        <v>44462.666945868055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3">
      <c r="A50" s="9"/>
      <c r="B50" s="57" t="s">
        <v>56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3">
      <c r="A51" s="9"/>
      <c r="B51" s="61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3"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","206", " - ", "Communications")</f>
        <v>Department 206 - Communications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10470.699999999999</v>
      </c>
      <c r="E18" s="19"/>
      <c r="F18" s="35">
        <f t="shared" ref="F18:F26" si="0">IF(D$12=0,0,D18/D$12)</f>
        <v>0</v>
      </c>
      <c r="G18" s="19"/>
      <c r="H18" s="19">
        <f>SUM(OSRRefH22x_0)</f>
        <v>10356.060000000001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114.6399999999976</v>
      </c>
      <c r="M18" s="4"/>
      <c r="N18" s="35">
        <f t="shared" ref="N18:N26" si="3">IF(H18=0,0,L18/H18)</f>
        <v>1.1069847026764772E-2</v>
      </c>
      <c r="O18" s="10"/>
      <c r="P18" s="19">
        <f>SUM(OSRRefP22x_0)</f>
        <v>10470.699999999999</v>
      </c>
      <c r="Q18" s="19"/>
      <c r="R18" s="35">
        <f t="shared" ref="R18:R26" si="4">IF(P$12=0,0,P18/P$12)</f>
        <v>0</v>
      </c>
      <c r="S18" s="19"/>
      <c r="T18" s="19">
        <f>SUM(OSRRefT22x_0)</f>
        <v>10356.060000000001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114.6399999999976</v>
      </c>
      <c r="Y18" s="4"/>
      <c r="Z18" s="35">
        <f t="shared" ref="Z18:Z26" si="7">IF(T18=0,0,X18/T18)</f>
        <v>1.1069847026764772E-2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1886.62</v>
      </c>
      <c r="E19" s="1"/>
      <c r="F19" s="5">
        <f t="shared" si="0"/>
        <v>0</v>
      </c>
      <c r="G19" s="1"/>
      <c r="H19" s="1">
        <f>SUM(OSRRefH22_0x_0)</f>
        <v>1548.91</v>
      </c>
      <c r="I19" s="1"/>
      <c r="J19" s="5">
        <f t="shared" si="1"/>
        <v>0</v>
      </c>
      <c r="K19" s="1"/>
      <c r="L19" s="1">
        <f t="shared" si="2"/>
        <v>337.70999999999981</v>
      </c>
      <c r="M19" s="1"/>
      <c r="N19" s="5">
        <f t="shared" si="3"/>
        <v>0.21803074420076041</v>
      </c>
      <c r="O19" s="14"/>
      <c r="P19" s="1">
        <f>SUM(OSRRefP22_0x_0)</f>
        <v>1886.62</v>
      </c>
      <c r="Q19" s="1"/>
      <c r="R19" s="5">
        <f t="shared" si="4"/>
        <v>0</v>
      </c>
      <c r="S19" s="1"/>
      <c r="T19" s="1">
        <f>SUM(OSRRefT22_0x_0)</f>
        <v>1548.91</v>
      </c>
      <c r="U19" s="1"/>
      <c r="V19" s="5">
        <f t="shared" si="5"/>
        <v>0</v>
      </c>
      <c r="W19" s="1"/>
      <c r="X19" s="1">
        <f t="shared" si="6"/>
        <v>337.70999999999981</v>
      </c>
      <c r="Y19" s="1"/>
      <c r="Z19" s="5">
        <f t="shared" si="7"/>
        <v>0.21803074420076041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498.51</v>
      </c>
      <c r="E20" s="3"/>
      <c r="F20" s="7">
        <f t="shared" si="0"/>
        <v>0</v>
      </c>
      <c r="G20" s="3"/>
      <c r="H20" s="8">
        <v>404.65</v>
      </c>
      <c r="I20" s="3"/>
      <c r="J20" s="7">
        <f t="shared" si="1"/>
        <v>0</v>
      </c>
      <c r="K20" s="3"/>
      <c r="L20" s="8">
        <f t="shared" si="2"/>
        <v>93.860000000000014</v>
      </c>
      <c r="M20" s="3"/>
      <c r="N20" s="7">
        <f t="shared" si="3"/>
        <v>0.23195354009637964</v>
      </c>
      <c r="O20" s="12"/>
      <c r="P20" s="8">
        <v>498.51</v>
      </c>
      <c r="Q20" s="3"/>
      <c r="R20" s="7">
        <f t="shared" si="4"/>
        <v>0</v>
      </c>
      <c r="S20" s="3"/>
      <c r="T20" s="8">
        <v>404.65</v>
      </c>
      <c r="U20" s="3"/>
      <c r="V20" s="7">
        <f t="shared" si="5"/>
        <v>0</v>
      </c>
      <c r="W20" s="3"/>
      <c r="X20" s="8">
        <f t="shared" si="6"/>
        <v>93.860000000000014</v>
      </c>
      <c r="Y20" s="3"/>
      <c r="Z20" s="7">
        <f t="shared" si="7"/>
        <v>0.23195354009637964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83.68</v>
      </c>
      <c r="E21" s="3"/>
      <c r="F21" s="7">
        <f t="shared" si="0"/>
        <v>0</v>
      </c>
      <c r="G21" s="3"/>
      <c r="H21" s="8">
        <v>20.8</v>
      </c>
      <c r="I21" s="3"/>
      <c r="J21" s="7">
        <f t="shared" si="1"/>
        <v>0</v>
      </c>
      <c r="K21" s="3"/>
      <c r="L21" s="8">
        <f t="shared" si="2"/>
        <v>62.88000000000001</v>
      </c>
      <c r="M21" s="3"/>
      <c r="N21" s="7">
        <f t="shared" si="3"/>
        <v>3.0230769230769234</v>
      </c>
      <c r="O21" s="12"/>
      <c r="P21" s="8">
        <v>83.68</v>
      </c>
      <c r="Q21" s="3"/>
      <c r="R21" s="7">
        <f t="shared" si="4"/>
        <v>0</v>
      </c>
      <c r="S21" s="3"/>
      <c r="T21" s="8">
        <v>20.8</v>
      </c>
      <c r="U21" s="3"/>
      <c r="V21" s="7">
        <f t="shared" si="5"/>
        <v>0</v>
      </c>
      <c r="W21" s="3"/>
      <c r="X21" s="8">
        <f t="shared" si="6"/>
        <v>62.88000000000001</v>
      </c>
      <c r="Y21" s="3"/>
      <c r="Z21" s="7">
        <f t="shared" si="7"/>
        <v>3.0230769230769234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700.87</v>
      </c>
      <c r="E22" s="3"/>
      <c r="F22" s="7">
        <f t="shared" si="0"/>
        <v>0</v>
      </c>
      <c r="G22" s="3"/>
      <c r="H22" s="8">
        <v>700.87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700.87</v>
      </c>
      <c r="Q22" s="3"/>
      <c r="R22" s="7">
        <f t="shared" si="4"/>
        <v>0</v>
      </c>
      <c r="S22" s="3"/>
      <c r="T22" s="8">
        <v>700.87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16.87</v>
      </c>
      <c r="E23" s="3"/>
      <c r="F23" s="7">
        <f t="shared" si="0"/>
        <v>0</v>
      </c>
      <c r="G23" s="3"/>
      <c r="H23" s="8">
        <v>16.39</v>
      </c>
      <c r="I23" s="3"/>
      <c r="J23" s="7">
        <f t="shared" si="1"/>
        <v>0</v>
      </c>
      <c r="K23" s="3"/>
      <c r="L23" s="8">
        <f t="shared" si="2"/>
        <v>0.48000000000000043</v>
      </c>
      <c r="M23" s="3"/>
      <c r="N23" s="7">
        <f t="shared" si="3"/>
        <v>2.9286150091519244E-2</v>
      </c>
      <c r="O23" s="12"/>
      <c r="P23" s="8">
        <v>16.87</v>
      </c>
      <c r="Q23" s="3"/>
      <c r="R23" s="7">
        <f t="shared" si="4"/>
        <v>0</v>
      </c>
      <c r="S23" s="3"/>
      <c r="T23" s="8">
        <v>16.39</v>
      </c>
      <c r="U23" s="3"/>
      <c r="V23" s="7">
        <f t="shared" si="5"/>
        <v>0</v>
      </c>
      <c r="W23" s="3"/>
      <c r="X23" s="8">
        <f t="shared" si="6"/>
        <v>0.48000000000000043</v>
      </c>
      <c r="Y23" s="3"/>
      <c r="Z23" s="7">
        <f t="shared" si="7"/>
        <v>2.9286150091519244E-2</v>
      </c>
    </row>
    <row r="24" spans="1:26" s="24" customFormat="1" hidden="1" outlineLevel="2" x14ac:dyDescent="0.3">
      <c r="A24" s="27"/>
      <c r="B24" s="12" t="str">
        <f>CONCATENATE("          ", "6118", " - ", "VACATION")</f>
        <v xml:space="preserve">          6118 - VACATION</v>
      </c>
      <c r="C24" s="12"/>
      <c r="D24" s="8">
        <v>276.60000000000002</v>
      </c>
      <c r="E24" s="3"/>
      <c r="F24" s="7">
        <f t="shared" si="0"/>
        <v>0</v>
      </c>
      <c r="G24" s="3"/>
      <c r="H24" s="8">
        <v>184.8</v>
      </c>
      <c r="I24" s="3"/>
      <c r="J24" s="7">
        <f t="shared" si="1"/>
        <v>0</v>
      </c>
      <c r="K24" s="3"/>
      <c r="L24" s="8">
        <f t="shared" si="2"/>
        <v>91.800000000000011</v>
      </c>
      <c r="M24" s="3"/>
      <c r="N24" s="7">
        <f t="shared" si="3"/>
        <v>0.49675324675324678</v>
      </c>
      <c r="O24" s="12"/>
      <c r="P24" s="8">
        <v>276.60000000000002</v>
      </c>
      <c r="Q24" s="3"/>
      <c r="R24" s="7">
        <f t="shared" si="4"/>
        <v>0</v>
      </c>
      <c r="S24" s="3"/>
      <c r="T24" s="8">
        <v>184.8</v>
      </c>
      <c r="U24" s="3"/>
      <c r="V24" s="7">
        <f t="shared" si="5"/>
        <v>0</v>
      </c>
      <c r="W24" s="3"/>
      <c r="X24" s="8">
        <f t="shared" si="6"/>
        <v>91.800000000000011</v>
      </c>
      <c r="Y24" s="3"/>
      <c r="Z24" s="7">
        <f t="shared" si="7"/>
        <v>0.49675324675324678</v>
      </c>
    </row>
    <row r="25" spans="1:26" s="24" customFormat="1" hidden="1" outlineLevel="2" x14ac:dyDescent="0.3">
      <c r="A25" s="27"/>
      <c r="B25" s="12" t="str">
        <f>CONCATENATE("          ", "6119", " - ", "SICK LEAVE")</f>
        <v xml:space="preserve">          6119 - SICK LEAVE</v>
      </c>
      <c r="C25" s="12"/>
      <c r="D25" s="8">
        <v>221.4</v>
      </c>
      <c r="E25" s="3"/>
      <c r="F25" s="7">
        <f t="shared" si="0"/>
        <v>0</v>
      </c>
      <c r="G25" s="3"/>
      <c r="H25" s="8">
        <v>221.4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>
        <v>221.4</v>
      </c>
      <c r="Q25" s="3"/>
      <c r="R25" s="7">
        <f t="shared" si="4"/>
        <v>0</v>
      </c>
      <c r="S25" s="3"/>
      <c r="T25" s="8">
        <v>221.4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24" customFormat="1" hidden="1" outlineLevel="2" x14ac:dyDescent="0.3">
      <c r="A26" s="27"/>
      <c r="B26" s="12" t="str">
        <f>CONCATENATE("          ", "6156", " - ", "EMPLOYEE MEALS")</f>
        <v xml:space="preserve">          6156 - EMPLOYEE MEALS</v>
      </c>
      <c r="C26" s="12"/>
      <c r="D26" s="8">
        <v>88.69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88.69</v>
      </c>
      <c r="M26" s="3"/>
      <c r="N26" s="7">
        <f t="shared" si="3"/>
        <v>0</v>
      </c>
      <c r="O26" s="12"/>
      <c r="P26" s="8">
        <v>88.69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88.69</v>
      </c>
      <c r="Y26" s="3"/>
      <c r="Z26" s="7">
        <f t="shared" si="7"/>
        <v>0</v>
      </c>
    </row>
    <row r="27" spans="1:26" s="29" customFormat="1" outlineLevel="1" collapsed="1" x14ac:dyDescent="0.3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8302.8700000000008</v>
      </c>
      <c r="E27" s="1"/>
      <c r="F27" s="5">
        <f t="shared" ref="F27:F30" si="8">IF(D$12=0,0,D27/D$12)</f>
        <v>0</v>
      </c>
      <c r="G27" s="1"/>
      <c r="H27" s="1">
        <f>SUM(OSRRefH22_1x_0)</f>
        <v>8499.880000000001</v>
      </c>
      <c r="I27" s="1"/>
      <c r="J27" s="5">
        <f t="shared" ref="J27:J30" si="9">IF(H$12=0,0,H27/H$12)</f>
        <v>0</v>
      </c>
      <c r="K27" s="1"/>
      <c r="L27" s="1">
        <f t="shared" ref="L27:L30" si="10">+D27-H27</f>
        <v>-197.01000000000022</v>
      </c>
      <c r="M27" s="1"/>
      <c r="N27" s="5">
        <f t="shared" ref="N27:N30" si="11">IF(H27=0,0,L27/H27)</f>
        <v>-2.3177974277283936E-2</v>
      </c>
      <c r="O27" s="14"/>
      <c r="P27" s="1">
        <f>SUM(OSRRefP22_1x_0)</f>
        <v>8302.8700000000008</v>
      </c>
      <c r="Q27" s="1"/>
      <c r="R27" s="5">
        <f t="shared" ref="R27:R30" si="12">IF(P$12=0,0,P27/P$12)</f>
        <v>0</v>
      </c>
      <c r="S27" s="1"/>
      <c r="T27" s="1">
        <f>SUM(OSRRefT22_1x_0)</f>
        <v>8499.880000000001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-197.01000000000022</v>
      </c>
      <c r="Y27" s="1"/>
      <c r="Z27" s="5">
        <f t="shared" ref="Z27:Z30" si="15">IF(T27=0,0,X27/T27)</f>
        <v>-2.3177974277283936E-2</v>
      </c>
    </row>
    <row r="28" spans="1:26" s="24" customFormat="1" hidden="1" outlineLevel="2" x14ac:dyDescent="0.3">
      <c r="A28" s="27"/>
      <c r="B28" s="12" t="str">
        <f>CONCATENATE("          ", "6004", " - ", "STAFF HOURLY")</f>
        <v xml:space="preserve">          6004 - STAFF HOURLY</v>
      </c>
      <c r="C28" s="12"/>
      <c r="D28" s="8">
        <v>4874.55</v>
      </c>
      <c r="E28" s="3"/>
      <c r="F28" s="7">
        <f t="shared" si="8"/>
        <v>0</v>
      </c>
      <c r="G28" s="3"/>
      <c r="H28" s="8">
        <v>5426.25</v>
      </c>
      <c r="I28" s="3"/>
      <c r="J28" s="7">
        <f t="shared" si="9"/>
        <v>0</v>
      </c>
      <c r="K28" s="3"/>
      <c r="L28" s="8">
        <f t="shared" si="10"/>
        <v>-551.69999999999982</v>
      </c>
      <c r="M28" s="3"/>
      <c r="N28" s="7">
        <f t="shared" si="11"/>
        <v>-0.1016724257083621</v>
      </c>
      <c r="O28" s="12"/>
      <c r="P28" s="8">
        <v>4874.55</v>
      </c>
      <c r="Q28" s="3"/>
      <c r="R28" s="7">
        <f t="shared" si="12"/>
        <v>0</v>
      </c>
      <c r="S28" s="3"/>
      <c r="T28" s="8">
        <v>5426.25</v>
      </c>
      <c r="U28" s="3"/>
      <c r="V28" s="7">
        <f t="shared" si="13"/>
        <v>0</v>
      </c>
      <c r="W28" s="3"/>
      <c r="X28" s="8">
        <f t="shared" si="14"/>
        <v>-551.69999999999982</v>
      </c>
      <c r="Y28" s="3"/>
      <c r="Z28" s="7">
        <f t="shared" si="15"/>
        <v>-0.1016724257083621</v>
      </c>
    </row>
    <row r="29" spans="1:26" s="24" customFormat="1" hidden="1" outlineLevel="2" x14ac:dyDescent="0.3">
      <c r="A29" s="27"/>
      <c r="B29" s="12" t="str">
        <f>CONCATENATE("          ", "6007", " - ", "STUDENT HOURLY")</f>
        <v xml:space="preserve">          6007 - STUDENT HOURLY</v>
      </c>
      <c r="C29" s="12"/>
      <c r="D29" s="8">
        <v>1657</v>
      </c>
      <c r="E29" s="3"/>
      <c r="F29" s="7">
        <f t="shared" si="8"/>
        <v>0</v>
      </c>
      <c r="G29" s="3"/>
      <c r="H29" s="8">
        <v>1845</v>
      </c>
      <c r="I29" s="3"/>
      <c r="J29" s="7">
        <f t="shared" si="9"/>
        <v>0</v>
      </c>
      <c r="K29" s="3"/>
      <c r="L29" s="8">
        <f t="shared" si="10"/>
        <v>-188</v>
      </c>
      <c r="M29" s="3"/>
      <c r="N29" s="7">
        <f t="shared" si="11"/>
        <v>-0.1018970189701897</v>
      </c>
      <c r="O29" s="12"/>
      <c r="P29" s="8">
        <v>1657</v>
      </c>
      <c r="Q29" s="3"/>
      <c r="R29" s="7">
        <f t="shared" si="12"/>
        <v>0</v>
      </c>
      <c r="S29" s="3"/>
      <c r="T29" s="8">
        <v>1845</v>
      </c>
      <c r="U29" s="3"/>
      <c r="V29" s="7">
        <f t="shared" si="13"/>
        <v>0</v>
      </c>
      <c r="W29" s="3"/>
      <c r="X29" s="8">
        <f t="shared" si="14"/>
        <v>-188</v>
      </c>
      <c r="Y29" s="3"/>
      <c r="Z29" s="7">
        <f t="shared" si="15"/>
        <v>-0.1018970189701897</v>
      </c>
    </row>
    <row r="30" spans="1:26" s="24" customFormat="1" hidden="1" outlineLevel="2" x14ac:dyDescent="0.3">
      <c r="A30" s="27"/>
      <c r="B30" s="12" t="str">
        <f>CONCATENATE("          ", "6008", " - ", "STUDENT HOURLY-FICA EXEMPT")</f>
        <v xml:space="preserve">          6008 - STUDENT HOURLY-FICA EXEMPT</v>
      </c>
      <c r="C30" s="12"/>
      <c r="D30" s="8">
        <v>1771.32</v>
      </c>
      <c r="E30" s="3"/>
      <c r="F30" s="7">
        <f t="shared" si="8"/>
        <v>0</v>
      </c>
      <c r="G30" s="3"/>
      <c r="H30" s="8">
        <v>1228.6300000000001</v>
      </c>
      <c r="I30" s="3"/>
      <c r="J30" s="7">
        <f t="shared" si="9"/>
        <v>0</v>
      </c>
      <c r="K30" s="3"/>
      <c r="L30" s="8">
        <f t="shared" si="10"/>
        <v>542.68999999999983</v>
      </c>
      <c r="M30" s="3"/>
      <c r="N30" s="7">
        <f t="shared" si="11"/>
        <v>0.44170336065373611</v>
      </c>
      <c r="O30" s="12"/>
      <c r="P30" s="8">
        <v>1771.32</v>
      </c>
      <c r="Q30" s="3"/>
      <c r="R30" s="7">
        <f t="shared" si="12"/>
        <v>0</v>
      </c>
      <c r="S30" s="3"/>
      <c r="T30" s="8">
        <v>1228.6300000000001</v>
      </c>
      <c r="U30" s="3"/>
      <c r="V30" s="7">
        <f t="shared" si="13"/>
        <v>0</v>
      </c>
      <c r="W30" s="3"/>
      <c r="X30" s="8">
        <f t="shared" si="14"/>
        <v>542.68999999999983</v>
      </c>
      <c r="Y30" s="3"/>
      <c r="Z30" s="7">
        <f t="shared" si="15"/>
        <v>0.44170336065373611</v>
      </c>
    </row>
    <row r="31" spans="1:26" s="29" customFormat="1" outlineLevel="1" collapsed="1" x14ac:dyDescent="0.3">
      <c r="A31" s="28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173.21</v>
      </c>
      <c r="E31" s="1"/>
      <c r="F31" s="5">
        <f t="shared" ref="F31:F36" si="16">IF(D$12=0,0,D31/D$12)</f>
        <v>0</v>
      </c>
      <c r="G31" s="1"/>
      <c r="H31" s="1">
        <f>SUM(OSRRefH22_2x_0)</f>
        <v>0</v>
      </c>
      <c r="I31" s="1"/>
      <c r="J31" s="5">
        <f t="shared" ref="J31:J36" si="17">IF(H$12=0,0,H31/H$12)</f>
        <v>0</v>
      </c>
      <c r="K31" s="1"/>
      <c r="L31" s="1">
        <f t="shared" ref="L31:L36" si="18">+D31-H31</f>
        <v>173.21</v>
      </c>
      <c r="M31" s="1"/>
      <c r="N31" s="5">
        <f t="shared" ref="N31:N36" si="19">IF(H31=0,0,L31/H31)</f>
        <v>0</v>
      </c>
      <c r="O31" s="14"/>
      <c r="P31" s="1">
        <f>SUM(OSRRefP22_2x_0)</f>
        <v>173.21</v>
      </c>
      <c r="Q31" s="1"/>
      <c r="R31" s="5">
        <f t="shared" ref="R31:R36" si="20">IF(P$12=0,0,P31/P$12)</f>
        <v>0</v>
      </c>
      <c r="S31" s="1"/>
      <c r="T31" s="1">
        <f>SUM(OSRRefT22_2x_0)</f>
        <v>0</v>
      </c>
      <c r="U31" s="1"/>
      <c r="V31" s="5">
        <f t="shared" ref="V31:V36" si="21">IF(T$12=0,0,T31/T$12)</f>
        <v>0</v>
      </c>
      <c r="W31" s="1"/>
      <c r="X31" s="1">
        <f t="shared" ref="X31:X36" si="22">+P31-T31</f>
        <v>173.21</v>
      </c>
      <c r="Y31" s="1"/>
      <c r="Z31" s="5">
        <f t="shared" ref="Z31:Z36" si="23">IF(T31=0,0,X31/T31)</f>
        <v>0</v>
      </c>
    </row>
    <row r="32" spans="1:26" s="24" customFormat="1" hidden="1" outlineLevel="2" x14ac:dyDescent="0.3">
      <c r="A32" s="27"/>
      <c r="B32" s="12" t="str">
        <f>CONCATENATE("          ", "6362", " - ", "ADVERTISING EXPENSE")</f>
        <v xml:space="preserve">          6362 - ADVERTISING EXPENSE</v>
      </c>
      <c r="C32" s="12"/>
      <c r="D32" s="8">
        <v>173.21</v>
      </c>
      <c r="E32" s="3"/>
      <c r="F32" s="7">
        <f t="shared" si="16"/>
        <v>0</v>
      </c>
      <c r="G32" s="3"/>
      <c r="H32" s="8"/>
      <c r="I32" s="3"/>
      <c r="J32" s="7">
        <f t="shared" si="17"/>
        <v>0</v>
      </c>
      <c r="K32" s="3"/>
      <c r="L32" s="8">
        <f t="shared" si="18"/>
        <v>173.21</v>
      </c>
      <c r="M32" s="3"/>
      <c r="N32" s="7">
        <f t="shared" si="19"/>
        <v>0</v>
      </c>
      <c r="O32" s="12"/>
      <c r="P32" s="8">
        <v>173.21</v>
      </c>
      <c r="Q32" s="3"/>
      <c r="R32" s="7">
        <f t="shared" si="20"/>
        <v>0</v>
      </c>
      <c r="S32" s="3"/>
      <c r="T32" s="8"/>
      <c r="U32" s="3"/>
      <c r="V32" s="7">
        <f t="shared" si="21"/>
        <v>0</v>
      </c>
      <c r="W32" s="3"/>
      <c r="X32" s="8">
        <f t="shared" si="22"/>
        <v>173.21</v>
      </c>
      <c r="Y32" s="3"/>
      <c r="Z32" s="7">
        <f t="shared" si="23"/>
        <v>0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271.27</v>
      </c>
      <c r="U33" s="1"/>
      <c r="V33" s="5">
        <f t="shared" si="21"/>
        <v>0</v>
      </c>
      <c r="W33" s="1"/>
      <c r="X33" s="1">
        <f t="shared" si="22"/>
        <v>-271.27</v>
      </c>
      <c r="Y33" s="1"/>
      <c r="Z33" s="5">
        <f t="shared" si="23"/>
        <v>-1</v>
      </c>
    </row>
    <row r="34" spans="1:26" s="24" customFormat="1" hidden="1" outlineLevel="2" x14ac:dyDescent="0.3">
      <c r="A34" s="27"/>
      <c r="B34" s="12" t="str">
        <f>CONCATENATE("          ", "6322", " - ", "EQUIPMENT DEPRECIATION EXPENSE")</f>
        <v xml:space="preserve">          6322 - EQUIPMENT DEPRECIATION EXPENSE</v>
      </c>
      <c r="C34" s="12"/>
      <c r="D34" s="8"/>
      <c r="E34" s="3"/>
      <c r="F34" s="7">
        <f t="shared" si="16"/>
        <v>0</v>
      </c>
      <c r="G34" s="3"/>
      <c r="H34" s="8">
        <v>271.27</v>
      </c>
      <c r="I34" s="3"/>
      <c r="J34" s="7">
        <f t="shared" si="17"/>
        <v>0</v>
      </c>
      <c r="K34" s="3"/>
      <c r="L34" s="8">
        <f t="shared" si="18"/>
        <v>-271.27</v>
      </c>
      <c r="M34" s="3"/>
      <c r="N34" s="7">
        <f t="shared" si="19"/>
        <v>-1</v>
      </c>
      <c r="O34" s="12"/>
      <c r="P34" s="8"/>
      <c r="Q34" s="3"/>
      <c r="R34" s="7">
        <f t="shared" si="20"/>
        <v>0</v>
      </c>
      <c r="S34" s="3"/>
      <c r="T34" s="8">
        <v>271.27</v>
      </c>
      <c r="U34" s="3"/>
      <c r="V34" s="7">
        <f t="shared" si="21"/>
        <v>0</v>
      </c>
      <c r="W34" s="3"/>
      <c r="X34" s="8">
        <f t="shared" si="22"/>
        <v>-271.27</v>
      </c>
      <c r="Y34" s="3"/>
      <c r="Z34" s="7">
        <f t="shared" si="23"/>
        <v>-1</v>
      </c>
    </row>
    <row r="35" spans="1:26" s="29" customFormat="1" outlineLevel="1" collapsed="1" x14ac:dyDescent="0.3">
      <c r="A35" s="28"/>
      <c r="B35" s="14" t="str">
        <f>CONCATENATE("     ","Telephone/Data Lines                              ")</f>
        <v xml:space="preserve">     Telephone/Data Lines                              </v>
      </c>
      <c r="C35" s="14"/>
      <c r="D35" s="1">
        <f>SUM(OSRRefD22_4x_0)</f>
        <v>108</v>
      </c>
      <c r="E35" s="1"/>
      <c r="F35" s="5">
        <f t="shared" si="16"/>
        <v>0</v>
      </c>
      <c r="G35" s="1"/>
      <c r="H35" s="1">
        <f>SUM(OSRRefH22_4x_0)</f>
        <v>36</v>
      </c>
      <c r="I35" s="1"/>
      <c r="J35" s="5">
        <f t="shared" si="17"/>
        <v>0</v>
      </c>
      <c r="K35" s="1"/>
      <c r="L35" s="1">
        <f t="shared" si="18"/>
        <v>72</v>
      </c>
      <c r="M35" s="1"/>
      <c r="N35" s="5">
        <f t="shared" si="19"/>
        <v>2</v>
      </c>
      <c r="O35" s="14"/>
      <c r="P35" s="1">
        <f>SUM(OSRRefP22_4x_0)</f>
        <v>108</v>
      </c>
      <c r="Q35" s="1"/>
      <c r="R35" s="5">
        <f t="shared" si="20"/>
        <v>0</v>
      </c>
      <c r="S35" s="1"/>
      <c r="T35" s="1">
        <f>SUM(OSRRefT22_4x_0)</f>
        <v>36</v>
      </c>
      <c r="U35" s="1"/>
      <c r="V35" s="5">
        <f t="shared" si="21"/>
        <v>0</v>
      </c>
      <c r="W35" s="1"/>
      <c r="X35" s="1">
        <f t="shared" si="22"/>
        <v>72</v>
      </c>
      <c r="Y35" s="1"/>
      <c r="Z35" s="5">
        <f t="shared" si="23"/>
        <v>2</v>
      </c>
    </row>
    <row r="36" spans="1:26" s="24" customFormat="1" hidden="1" outlineLevel="2" x14ac:dyDescent="0.3">
      <c r="A36" s="27"/>
      <c r="B36" s="12" t="str">
        <f>CONCATENATE("          ", "6309", " - ", "TELEPHONE")</f>
        <v xml:space="preserve">          6309 - TELEPHONE</v>
      </c>
      <c r="C36" s="12"/>
      <c r="D36" s="8">
        <v>108</v>
      </c>
      <c r="E36" s="3"/>
      <c r="F36" s="7">
        <f t="shared" si="16"/>
        <v>0</v>
      </c>
      <c r="G36" s="3"/>
      <c r="H36" s="8">
        <v>36</v>
      </c>
      <c r="I36" s="3"/>
      <c r="J36" s="7">
        <f t="shared" si="17"/>
        <v>0</v>
      </c>
      <c r="K36" s="3"/>
      <c r="L36" s="8">
        <f t="shared" si="18"/>
        <v>72</v>
      </c>
      <c r="M36" s="3"/>
      <c r="N36" s="7">
        <f t="shared" si="19"/>
        <v>2</v>
      </c>
      <c r="O36" s="12"/>
      <c r="P36" s="8">
        <v>108</v>
      </c>
      <c r="Q36" s="3"/>
      <c r="R36" s="7">
        <f t="shared" si="20"/>
        <v>0</v>
      </c>
      <c r="S36" s="3"/>
      <c r="T36" s="8">
        <v>36</v>
      </c>
      <c r="U36" s="3"/>
      <c r="V36" s="7">
        <f t="shared" si="21"/>
        <v>0</v>
      </c>
      <c r="W36" s="3"/>
      <c r="X36" s="8">
        <f t="shared" si="22"/>
        <v>72</v>
      </c>
      <c r="Y36" s="3"/>
      <c r="Z36" s="7">
        <f t="shared" si="23"/>
        <v>2</v>
      </c>
    </row>
    <row r="37" spans="1:26" s="53" customFormat="1" x14ac:dyDescent="0.3">
      <c r="A37" s="37"/>
      <c r="B37" s="37"/>
      <c r="C37" s="37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3">
      <c r="A38" s="10"/>
      <c r="B38" s="25" t="s">
        <v>292</v>
      </c>
      <c r="C38" s="10"/>
      <c r="D38" s="4">
        <f>SUM(0)</f>
        <v>0</v>
      </c>
      <c r="E38" s="4"/>
      <c r="F38" s="11">
        <f>IF(D$12=0,0,D38/D$12)</f>
        <v>0</v>
      </c>
      <c r="G38" s="4"/>
      <c r="H38" s="4">
        <f>SUM(0)</f>
        <v>0</v>
      </c>
      <c r="I38" s="4"/>
      <c r="J38" s="11">
        <f>IF(H$12=0,0,H38/H$12)</f>
        <v>0</v>
      </c>
      <c r="K38" s="4"/>
      <c r="L38" s="4">
        <f>+D38-H38</f>
        <v>0</v>
      </c>
      <c r="M38" s="4"/>
      <c r="N38" s="11">
        <f>IF(H38=0,0,L38/H38)</f>
        <v>0</v>
      </c>
      <c r="O38" s="10"/>
      <c r="P38" s="4">
        <f>SUM(0)</f>
        <v>0</v>
      </c>
      <c r="Q38" s="4"/>
      <c r="R38" s="11">
        <f>IF(P$12=0,0,P38/P$12)</f>
        <v>0</v>
      </c>
      <c r="S38" s="4"/>
      <c r="T38" s="4">
        <f>SUM(0)</f>
        <v>0</v>
      </c>
      <c r="U38" s="4"/>
      <c r="V38" s="11">
        <f>IF(T$12=0,0,T38/T$12)</f>
        <v>0</v>
      </c>
      <c r="W38" s="4"/>
      <c r="X38" s="4">
        <f>+P38-T38</f>
        <v>0</v>
      </c>
      <c r="Y38" s="4"/>
      <c r="Z38" s="11">
        <f>IF(T38=0,0,X38/T38)</f>
        <v>0</v>
      </c>
    </row>
    <row r="39" spans="1:26" x14ac:dyDescent="0.3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3" customFormat="1" x14ac:dyDescent="0.3">
      <c r="A40" s="10"/>
      <c r="B40" s="26" t="s">
        <v>276</v>
      </c>
      <c r="C40" s="26"/>
      <c r="D40" s="20">
        <f>+D16-D18+D38</f>
        <v>-10470.699999999999</v>
      </c>
      <c r="E40" s="13"/>
      <c r="F40" s="21">
        <f>IF(D$12=0,0,D40/D$12)</f>
        <v>0</v>
      </c>
      <c r="G40" s="13"/>
      <c r="H40" s="20">
        <f>+H16-H18+H38</f>
        <v>-10356.060000000001</v>
      </c>
      <c r="I40" s="13"/>
      <c r="J40" s="21">
        <f>IF(H$12=0,0,H40/H$12)</f>
        <v>0</v>
      </c>
      <c r="K40" s="16"/>
      <c r="L40" s="20">
        <f>+D40-H40</f>
        <v>-114.6399999999976</v>
      </c>
      <c r="M40" s="16"/>
      <c r="N40" s="21">
        <f>IF(H40=0,0,L40/H40)</f>
        <v>1.1069847026764772E-2</v>
      </c>
      <c r="O40" s="25"/>
      <c r="P40" s="20">
        <f>+P16-P18+P38</f>
        <v>-10470.699999999999</v>
      </c>
      <c r="Q40" s="13"/>
      <c r="R40" s="21">
        <f>IF(P$12=0,0,P40/P$12)</f>
        <v>0</v>
      </c>
      <c r="S40" s="13"/>
      <c r="T40" s="20">
        <f>+T16-T18+T38</f>
        <v>-10356.060000000001</v>
      </c>
      <c r="U40" s="13"/>
      <c r="V40" s="21">
        <f>IF(T$12=0,0,T40/T$12)</f>
        <v>0</v>
      </c>
      <c r="W40" s="16"/>
      <c r="X40" s="20">
        <f>+P40-T40</f>
        <v>-114.6399999999976</v>
      </c>
      <c r="Y40" s="16"/>
      <c r="Z40" s="21">
        <f>IF(T40=0,0,X40/T40)</f>
        <v>1.1069847026764772E-2</v>
      </c>
    </row>
    <row r="41" spans="1:26" x14ac:dyDescent="0.3">
      <c r="A41" s="9"/>
      <c r="B41" s="10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x14ac:dyDescent="0.3">
      <c r="A42" s="51"/>
      <c r="B42" s="10" t="s">
        <v>127</v>
      </c>
      <c r="C42" s="10"/>
      <c r="D42" s="4"/>
      <c r="E42" s="4"/>
      <c r="F42" s="11">
        <f>IF(D$12=0,0,D42/D$12)</f>
        <v>0</v>
      </c>
      <c r="G42" s="4"/>
      <c r="H42" s="4"/>
      <c r="I42" s="4"/>
      <c r="J42" s="11">
        <f>IF(H$12=0,0,H42/H$12)</f>
        <v>0</v>
      </c>
      <c r="K42" s="4"/>
      <c r="L42" s="4">
        <f>+D42-H42</f>
        <v>0</v>
      </c>
      <c r="M42" s="4"/>
      <c r="N42" s="11">
        <f>IF(H42=0,0,L42/H42)</f>
        <v>0</v>
      </c>
      <c r="O42" s="10"/>
      <c r="P42" s="4"/>
      <c r="Q42" s="4"/>
      <c r="R42" s="11">
        <f>IF(P$12=0,0,P42/P$12)</f>
        <v>0</v>
      </c>
      <c r="S42" s="4"/>
      <c r="T42" s="4"/>
      <c r="U42" s="4"/>
      <c r="V42" s="11">
        <f>IF(T$12=0,0,T42/T$12)</f>
        <v>0</v>
      </c>
      <c r="W42" s="4"/>
      <c r="X42" s="4">
        <f>+P42-T42</f>
        <v>0</v>
      </c>
      <c r="Y42" s="4"/>
      <c r="Z42" s="11">
        <f>IF(T42=0,0,X42/T42)</f>
        <v>0</v>
      </c>
    </row>
    <row r="43" spans="1:26" x14ac:dyDescent="0.3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ht="15" thickBot="1" x14ac:dyDescent="0.35">
      <c r="A44" s="10"/>
      <c r="B44" s="26" t="s">
        <v>125</v>
      </c>
      <c r="C44" s="26"/>
      <c r="D44" s="36">
        <f>+D40-D42</f>
        <v>-10470.699999999999</v>
      </c>
      <c r="E44" s="13"/>
      <c r="F44" s="34">
        <f>IF(D$12=0,0,D44/D$12)</f>
        <v>0</v>
      </c>
      <c r="G44" s="13"/>
      <c r="H44" s="36">
        <f>+H40-H42</f>
        <v>-10356.060000000001</v>
      </c>
      <c r="I44" s="13"/>
      <c r="J44" s="34">
        <f>IF(H$12=0,0,H44/H$12)</f>
        <v>0</v>
      </c>
      <c r="K44" s="16"/>
      <c r="L44" s="36">
        <f>D44-H44</f>
        <v>-114.6399999999976</v>
      </c>
      <c r="M44" s="16"/>
      <c r="N44" s="34">
        <f>IF(H44=0,0,L44/H44)</f>
        <v>1.1069847026764772E-2</v>
      </c>
      <c r="O44" s="25"/>
      <c r="P44" s="36">
        <f>+P40-P42</f>
        <v>-10470.699999999999</v>
      </c>
      <c r="Q44" s="13"/>
      <c r="R44" s="34">
        <f>IF(P$12=0,0,P44/P$12)</f>
        <v>0</v>
      </c>
      <c r="S44" s="13"/>
      <c r="T44" s="36">
        <f>+T40-T42</f>
        <v>-10356.060000000001</v>
      </c>
      <c r="U44" s="13"/>
      <c r="V44" s="34">
        <f>IF(T$12=0,0,T44/T$12)</f>
        <v>0</v>
      </c>
      <c r="W44" s="16"/>
      <c r="X44" s="36">
        <f>P44-T44</f>
        <v>-114.6399999999976</v>
      </c>
      <c r="Y44" s="16"/>
      <c r="Z44" s="34">
        <f>IF(T44=0,0,X44/T44)</f>
        <v>1.1069847026764772E-2</v>
      </c>
    </row>
    <row r="45" spans="1:26" ht="15" thickTop="1" x14ac:dyDescent="0.3">
      <c r="A45" s="9"/>
      <c r="B45" s="9"/>
      <c r="C45" s="9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x14ac:dyDescent="0.3">
      <c r="A46" s="9"/>
      <c r="B46" s="9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s="23" customFormat="1" ht="15" thickBot="1" x14ac:dyDescent="0.35">
      <c r="A47" s="10"/>
      <c r="B47" s="26" t="s">
        <v>293</v>
      </c>
      <c r="C47" s="26"/>
      <c r="D47" s="31">
        <f>SUM(D44:D46)</f>
        <v>-10470.699999999999</v>
      </c>
      <c r="E47" s="13"/>
      <c r="F47" s="33">
        <f>IF(D$12=0,0,D47/D$12)</f>
        <v>0</v>
      </c>
      <c r="G47" s="13"/>
      <c r="H47" s="31">
        <f>SUM(H44:H46)</f>
        <v>-10356.060000000001</v>
      </c>
      <c r="I47" s="13"/>
      <c r="J47" s="33">
        <f>IF(H$12=0,0,H47/H$12)</f>
        <v>0</v>
      </c>
      <c r="K47" s="16"/>
      <c r="L47" s="31">
        <f>+D47-H47</f>
        <v>-114.6399999999976</v>
      </c>
      <c r="M47" s="16"/>
      <c r="N47" s="33">
        <f>IF(H47=0,0,L47/H47)</f>
        <v>1.1069847026764772E-2</v>
      </c>
      <c r="O47" s="25"/>
      <c r="P47" s="31">
        <f>SUM(P44:P46)</f>
        <v>-10470.699999999999</v>
      </c>
      <c r="Q47" s="13"/>
      <c r="R47" s="33">
        <f>IF(P$12=0,0,P47/P$12)</f>
        <v>0</v>
      </c>
      <c r="S47" s="13"/>
      <c r="T47" s="31">
        <f>SUM(T44:T46)</f>
        <v>-10356.060000000001</v>
      </c>
      <c r="U47" s="13"/>
      <c r="V47" s="33">
        <f>IF(T$12=0,0,T47/T$12)</f>
        <v>0</v>
      </c>
      <c r="W47" s="16"/>
      <c r="X47" s="31">
        <f>+P47-T47</f>
        <v>-114.6399999999976</v>
      </c>
      <c r="Y47" s="16"/>
      <c r="Z47" s="33">
        <f>IF(T47=0,0,X47/T47)</f>
        <v>1.1069847026764772E-2</v>
      </c>
    </row>
    <row r="48" spans="1:26" ht="15" thickTop="1" x14ac:dyDescent="0.3">
      <c r="A48" s="9"/>
      <c r="C48" s="9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3">
      <c r="A49" s="9"/>
      <c r="B49" s="59">
        <v>44462.666945868055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3">
      <c r="A50" s="9"/>
      <c r="B50" s="57" t="s">
        <v>56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3">
      <c r="A51" s="9"/>
      <c r="B51" s="61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3"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220498.22000000003</v>
      </c>
      <c r="E12" s="4"/>
      <c r="F12" s="11"/>
      <c r="G12" s="4"/>
      <c r="H12" s="4">
        <f>SUM(OSRRefH13x_0)</f>
        <v>227667.24999999994</v>
      </c>
      <c r="I12" s="4"/>
      <c r="J12" s="11"/>
      <c r="K12" s="4"/>
      <c r="L12" s="4">
        <f t="shared" ref="L12:L62" si="0">+D12-H12</f>
        <v>-7169.0299999999115</v>
      </c>
      <c r="M12" s="4"/>
      <c r="N12" s="11">
        <f t="shared" ref="N12:N62" si="1">IF(H12=0,0,L12/H12)</f>
        <v>-3.1489070123172806E-2</v>
      </c>
      <c r="O12" s="10"/>
      <c r="P12" s="4">
        <f>SUM(OSRRefP13x_0)</f>
        <v>220498.22000000003</v>
      </c>
      <c r="Q12" s="4"/>
      <c r="R12" s="11"/>
      <c r="S12" s="4"/>
      <c r="T12" s="4">
        <f>SUM(OSRRefT13x_0)</f>
        <v>227667.24999999994</v>
      </c>
      <c r="U12" s="4"/>
      <c r="V12" s="11"/>
      <c r="W12" s="4"/>
      <c r="X12" s="4">
        <f t="shared" ref="X12:X62" si="2">+P12-T12</f>
        <v>-7169.0299999999115</v>
      </c>
      <c r="Y12" s="4"/>
      <c r="Z12" s="11">
        <f t="shared" ref="Z12:Z62" si="3">IF(T12=0,0,X12/T12)</f>
        <v>-3.1489070123172806E-2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--188048.33</f>
        <v>188048.33</v>
      </c>
      <c r="E13" s="3"/>
      <c r="F13" s="22"/>
      <c r="G13" s="3"/>
      <c r="H13" s="3">
        <f>-10723.46</f>
        <v>-10723.46</v>
      </c>
      <c r="I13" s="3"/>
      <c r="J13" s="22"/>
      <c r="K13" s="3"/>
      <c r="L13" s="3">
        <f t="shared" si="0"/>
        <v>198771.78999999998</v>
      </c>
      <c r="M13" s="3"/>
      <c r="N13" s="22">
        <f t="shared" si="1"/>
        <v>-18.536161835825379</v>
      </c>
      <c r="O13" s="12"/>
      <c r="P13" s="3">
        <f>--188048.33</f>
        <v>188048.33</v>
      </c>
      <c r="Q13" s="3"/>
      <c r="R13" s="22"/>
      <c r="S13" s="3"/>
      <c r="T13" s="3">
        <f>-10723.46</f>
        <v>-10723.46</v>
      </c>
      <c r="U13" s="3"/>
      <c r="V13" s="22"/>
      <c r="W13" s="3"/>
      <c r="X13" s="3">
        <f t="shared" si="2"/>
        <v>198771.78999999998</v>
      </c>
      <c r="Y13" s="3"/>
      <c r="Z13" s="22">
        <f t="shared" si="3"/>
        <v>-18.536161835825379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28" si="4">0</f>
        <v>0</v>
      </c>
      <c r="E14" s="3"/>
      <c r="F14" s="22"/>
      <c r="G14" s="3"/>
      <c r="H14" s="3">
        <f>--11947.85</f>
        <v>11947.85</v>
      </c>
      <c r="I14" s="3"/>
      <c r="J14" s="22"/>
      <c r="K14" s="3"/>
      <c r="L14" s="3">
        <f t="shared" si="0"/>
        <v>-11947.85</v>
      </c>
      <c r="M14" s="3"/>
      <c r="N14" s="22">
        <f t="shared" si="1"/>
        <v>-1</v>
      </c>
      <c r="O14" s="12"/>
      <c r="P14" s="3">
        <f t="shared" ref="P14:P28" si="5">0</f>
        <v>0</v>
      </c>
      <c r="Q14" s="3"/>
      <c r="R14" s="22"/>
      <c r="S14" s="3"/>
      <c r="T14" s="3">
        <f>--11947.85</f>
        <v>11947.85</v>
      </c>
      <c r="U14" s="3"/>
      <c r="V14" s="22"/>
      <c r="W14" s="3"/>
      <c r="X14" s="3">
        <f t="shared" si="2"/>
        <v>-11947.85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--13029.34</f>
        <v>13029.34</v>
      </c>
      <c r="I15" s="3"/>
      <c r="J15" s="22"/>
      <c r="K15" s="3"/>
      <c r="L15" s="3">
        <f t="shared" si="0"/>
        <v>-13029.34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--13029.34</f>
        <v>13029.34</v>
      </c>
      <c r="U15" s="3"/>
      <c r="V15" s="22"/>
      <c r="W15" s="3"/>
      <c r="X15" s="3">
        <f t="shared" si="2"/>
        <v>-13029.34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 t="shared" si="4"/>
        <v>0</v>
      </c>
      <c r="E18" s="3"/>
      <c r="F18" s="22"/>
      <c r="G18" s="3"/>
      <c r="H18" s="3">
        <f>--236.56</f>
        <v>236.56</v>
      </c>
      <c r="I18" s="3"/>
      <c r="J18" s="22"/>
      <c r="K18" s="3"/>
      <c r="L18" s="3">
        <f t="shared" si="0"/>
        <v>-236.56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--236.56</f>
        <v>236.56</v>
      </c>
      <c r="U18" s="3"/>
      <c r="V18" s="22"/>
      <c r="W18" s="3"/>
      <c r="X18" s="3">
        <f t="shared" si="2"/>
        <v>-236.56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 t="shared" si="4"/>
        <v>0</v>
      </c>
      <c r="E19" s="3"/>
      <c r="F19" s="22"/>
      <c r="G19" s="3"/>
      <c r="H19" s="3">
        <f>--1653.17</f>
        <v>1653.17</v>
      </c>
      <c r="I19" s="3"/>
      <c r="J19" s="22"/>
      <c r="K19" s="3"/>
      <c r="L19" s="3">
        <f t="shared" si="0"/>
        <v>-1653.17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--1653.17</f>
        <v>1653.17</v>
      </c>
      <c r="U19" s="3"/>
      <c r="V19" s="22"/>
      <c r="W19" s="3"/>
      <c r="X19" s="3">
        <f t="shared" si="2"/>
        <v>-1653.17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"4028", " - ", "TAXABLE SALES-ART/TECH")</f>
        <v xml:space="preserve">          4028 - TAXABLE SALES-ART/TECH</v>
      </c>
      <c r="C20" s="12"/>
      <c r="D20" s="3">
        <f t="shared" si="4"/>
        <v>0</v>
      </c>
      <c r="E20" s="3"/>
      <c r="F20" s="22"/>
      <c r="G20" s="3"/>
      <c r="H20" s="3">
        <f>--19.85</f>
        <v>19.850000000000001</v>
      </c>
      <c r="I20" s="3"/>
      <c r="J20" s="22"/>
      <c r="K20" s="3"/>
      <c r="L20" s="3">
        <f t="shared" si="0"/>
        <v>-19.850000000000001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--19.85</f>
        <v>19.850000000000001</v>
      </c>
      <c r="U20" s="3"/>
      <c r="V20" s="22"/>
      <c r="W20" s="3"/>
      <c r="X20" s="3">
        <f t="shared" si="2"/>
        <v>-19.850000000000001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"4031", " - ", "TAXABLE SALES-FOOD")</f>
        <v xml:space="preserve">          4031 - TAXABLE SALES-FOOD</v>
      </c>
      <c r="C21" s="12"/>
      <c r="D21" s="3">
        <f t="shared" si="4"/>
        <v>0</v>
      </c>
      <c r="E21" s="3"/>
      <c r="F21" s="22"/>
      <c r="G21" s="3"/>
      <c r="H21" s="3">
        <f>--19.75</f>
        <v>19.75</v>
      </c>
      <c r="I21" s="3"/>
      <c r="J21" s="22"/>
      <c r="K21" s="3"/>
      <c r="L21" s="3">
        <f t="shared" si="0"/>
        <v>-19.75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--19.75</f>
        <v>19.75</v>
      </c>
      <c r="U21" s="3"/>
      <c r="V21" s="22"/>
      <c r="W21" s="3"/>
      <c r="X21" s="3">
        <f t="shared" si="2"/>
        <v>-19.75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"4034", " - ", "TAXABLE SALES-SODA")</f>
        <v xml:space="preserve">          4034 - TAXABLE SALES-SODA</v>
      </c>
      <c r="C22" s="12"/>
      <c r="D22" s="3">
        <f t="shared" si="4"/>
        <v>0</v>
      </c>
      <c r="E22" s="3"/>
      <c r="F22" s="22"/>
      <c r="G22" s="3"/>
      <c r="H22" s="3">
        <f>--6.78</f>
        <v>6.78</v>
      </c>
      <c r="I22" s="3"/>
      <c r="J22" s="22"/>
      <c r="K22" s="3"/>
      <c r="L22" s="3">
        <f t="shared" si="0"/>
        <v>-6.78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--6.78</f>
        <v>6.78</v>
      </c>
      <c r="U22" s="3"/>
      <c r="V22" s="22"/>
      <c r="W22" s="3"/>
      <c r="X22" s="3">
        <f t="shared" si="2"/>
        <v>-6.78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"4040", " - ", "TAXABLE SALES-LOGO CLOTHING")</f>
        <v xml:space="preserve">          4040 - TAXABLE SALES-LOGO CLOTHING</v>
      </c>
      <c r="C23" s="12"/>
      <c r="D23" s="3">
        <f t="shared" si="4"/>
        <v>0</v>
      </c>
      <c r="E23" s="3"/>
      <c r="F23" s="22"/>
      <c r="G23" s="3"/>
      <c r="H23" s="3">
        <f>--72292.26</f>
        <v>72292.259999999995</v>
      </c>
      <c r="I23" s="3"/>
      <c r="J23" s="22"/>
      <c r="K23" s="3"/>
      <c r="L23" s="3">
        <f t="shared" si="0"/>
        <v>-72292.259999999995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--72292.26</f>
        <v>72292.259999999995</v>
      </c>
      <c r="U23" s="3"/>
      <c r="V23" s="22"/>
      <c r="W23" s="3"/>
      <c r="X23" s="3">
        <f t="shared" si="2"/>
        <v>-72292.259999999995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"4041", " - ", "TAXABLE SALES-LOGO GIFTS")</f>
        <v xml:space="preserve">          4041 - TAXABLE SALES-LOGO GIFTS</v>
      </c>
      <c r="C24" s="12"/>
      <c r="D24" s="3">
        <f t="shared" si="4"/>
        <v>0</v>
      </c>
      <c r="E24" s="3"/>
      <c r="F24" s="22"/>
      <c r="G24" s="3"/>
      <c r="H24" s="3">
        <f>--21188.91</f>
        <v>21188.91</v>
      </c>
      <c r="I24" s="3"/>
      <c r="J24" s="22"/>
      <c r="K24" s="3"/>
      <c r="L24" s="3">
        <f t="shared" si="0"/>
        <v>-21188.91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--21188.91</f>
        <v>21188.91</v>
      </c>
      <c r="U24" s="3"/>
      <c r="V24" s="22"/>
      <c r="W24" s="3"/>
      <c r="X24" s="3">
        <f t="shared" si="2"/>
        <v>-21188.91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"4042", " - ", "TAXABLE SALES-EVERYDAY GIFTS")</f>
        <v xml:space="preserve">          4042 - TAXABLE SALES-EVERYDAY GIFTS</v>
      </c>
      <c r="C25" s="12"/>
      <c r="D25" s="3">
        <f t="shared" si="4"/>
        <v>0</v>
      </c>
      <c r="E25" s="3"/>
      <c r="F25" s="22"/>
      <c r="G25" s="3"/>
      <c r="H25" s="3">
        <f>--9503.9</f>
        <v>9503.9</v>
      </c>
      <c r="I25" s="3"/>
      <c r="J25" s="22"/>
      <c r="K25" s="3"/>
      <c r="L25" s="3">
        <f t="shared" si="0"/>
        <v>-9503.9</v>
      </c>
      <c r="M25" s="3"/>
      <c r="N25" s="22">
        <f t="shared" si="1"/>
        <v>-1</v>
      </c>
      <c r="O25" s="12"/>
      <c r="P25" s="3">
        <f t="shared" si="5"/>
        <v>0</v>
      </c>
      <c r="Q25" s="3"/>
      <c r="R25" s="22"/>
      <c r="S25" s="3"/>
      <c r="T25" s="3">
        <f>--9503.9</f>
        <v>9503.9</v>
      </c>
      <c r="U25" s="3"/>
      <c r="V25" s="22"/>
      <c r="W25" s="3"/>
      <c r="X25" s="3">
        <f t="shared" si="2"/>
        <v>-9503.9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"4043", " - ", "TAXABLE SALES-CARDS")</f>
        <v xml:space="preserve">          4043 - TAXABLE SALES-CARDS</v>
      </c>
      <c r="C26" s="12"/>
      <c r="D26" s="3">
        <f t="shared" si="4"/>
        <v>0</v>
      </c>
      <c r="E26" s="3"/>
      <c r="F26" s="22"/>
      <c r="G26" s="3"/>
      <c r="H26" s="3">
        <f>--217.36</f>
        <v>217.36</v>
      </c>
      <c r="I26" s="3"/>
      <c r="J26" s="22"/>
      <c r="K26" s="3"/>
      <c r="L26" s="3">
        <f t="shared" si="0"/>
        <v>-217.36</v>
      </c>
      <c r="M26" s="3"/>
      <c r="N26" s="22">
        <f t="shared" si="1"/>
        <v>-1</v>
      </c>
      <c r="O26" s="12"/>
      <c r="P26" s="3">
        <f t="shared" si="5"/>
        <v>0</v>
      </c>
      <c r="Q26" s="3"/>
      <c r="R26" s="22"/>
      <c r="S26" s="3"/>
      <c r="T26" s="3">
        <f>--217.36</f>
        <v>217.36</v>
      </c>
      <c r="U26" s="3"/>
      <c r="V26" s="22"/>
      <c r="W26" s="3"/>
      <c r="X26" s="3">
        <f t="shared" si="2"/>
        <v>-217.36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"4044", " - ", "TAXABLE SALES-ACCESSORIES")</f>
        <v xml:space="preserve">          4044 - TAXABLE SALES-ACCESSORIES</v>
      </c>
      <c r="C27" s="12"/>
      <c r="D27" s="3">
        <f t="shared" si="4"/>
        <v>0</v>
      </c>
      <c r="E27" s="3"/>
      <c r="F27" s="22"/>
      <c r="G27" s="3"/>
      <c r="H27" s="3">
        <f>--1800.68</f>
        <v>1800.68</v>
      </c>
      <c r="I27" s="3"/>
      <c r="J27" s="22"/>
      <c r="K27" s="3"/>
      <c r="L27" s="3">
        <f t="shared" si="0"/>
        <v>-1800.68</v>
      </c>
      <c r="M27" s="3"/>
      <c r="N27" s="22">
        <f t="shared" si="1"/>
        <v>-1</v>
      </c>
      <c r="O27" s="12"/>
      <c r="P27" s="3">
        <f t="shared" si="5"/>
        <v>0</v>
      </c>
      <c r="Q27" s="3"/>
      <c r="R27" s="22"/>
      <c r="S27" s="3"/>
      <c r="T27" s="3">
        <f>--1800.68</f>
        <v>1800.68</v>
      </c>
      <c r="U27" s="3"/>
      <c r="V27" s="22"/>
      <c r="W27" s="3"/>
      <c r="X27" s="3">
        <f t="shared" si="2"/>
        <v>-1800.68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"4045", " - ", "TAXABLE SALES-SPECIAL ORDERS")</f>
        <v xml:space="preserve">          4045 - TAXABLE SALES-SPECIAL ORDERS</v>
      </c>
      <c r="C28" s="12"/>
      <c r="D28" s="3">
        <f t="shared" si="4"/>
        <v>0</v>
      </c>
      <c r="E28" s="3"/>
      <c r="F28" s="22"/>
      <c r="G28" s="3"/>
      <c r="H28" s="3">
        <f>--43426.73</f>
        <v>43426.73</v>
      </c>
      <c r="I28" s="3"/>
      <c r="J28" s="22"/>
      <c r="K28" s="3"/>
      <c r="L28" s="3">
        <f t="shared" si="0"/>
        <v>-43426.73</v>
      </c>
      <c r="M28" s="3"/>
      <c r="N28" s="22">
        <f t="shared" si="1"/>
        <v>-1</v>
      </c>
      <c r="O28" s="12"/>
      <c r="P28" s="3">
        <f t="shared" si="5"/>
        <v>0</v>
      </c>
      <c r="Q28" s="3"/>
      <c r="R28" s="22"/>
      <c r="S28" s="3"/>
      <c r="T28" s="3">
        <f>--43426.73</f>
        <v>43426.73</v>
      </c>
      <c r="U28" s="3"/>
      <c r="V28" s="22"/>
      <c r="W28" s="3"/>
      <c r="X28" s="3">
        <f t="shared" si="2"/>
        <v>-43426.73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"4100", " - ", "NON-TAXABLE SALES")</f>
        <v xml:space="preserve">          4100 - NON-TAXABLE SALES</v>
      </c>
      <c r="C29" s="12"/>
      <c r="D29" s="3">
        <f>--39098.54</f>
        <v>39098.54</v>
      </c>
      <c r="E29" s="3"/>
      <c r="F29" s="22"/>
      <c r="G29" s="3"/>
      <c r="H29" s="3">
        <f>--3038.3</f>
        <v>3038.3</v>
      </c>
      <c r="I29" s="3"/>
      <c r="J29" s="22"/>
      <c r="K29" s="3"/>
      <c r="L29" s="3">
        <f t="shared" si="0"/>
        <v>36060.239999999998</v>
      </c>
      <c r="M29" s="3"/>
      <c r="N29" s="22">
        <f t="shared" si="1"/>
        <v>11.868558075239442</v>
      </c>
      <c r="O29" s="12"/>
      <c r="P29" s="3">
        <f>--39098.54</f>
        <v>39098.54</v>
      </c>
      <c r="Q29" s="3"/>
      <c r="R29" s="22"/>
      <c r="S29" s="3"/>
      <c r="T29" s="3">
        <f>--3038.3</f>
        <v>3038.3</v>
      </c>
      <c r="U29" s="3"/>
      <c r="V29" s="22"/>
      <c r="W29" s="3"/>
      <c r="X29" s="3">
        <f t="shared" si="2"/>
        <v>36060.239999999998</v>
      </c>
      <c r="Y29" s="3"/>
      <c r="Z29" s="22">
        <f t="shared" si="3"/>
        <v>11.868558075239442</v>
      </c>
    </row>
    <row r="30" spans="1:26" s="24" customFormat="1" hidden="1" outlineLevel="1" x14ac:dyDescent="0.3">
      <c r="A30" s="50"/>
      <c r="B30" s="12" t="str">
        <f>CONCATENATE("          ", "4101", " - ", "NON-TAXABLE SALES-NEW TEXT")</f>
        <v xml:space="preserve">          4101 - NON-TAXABLE SALES-NEW TEXT</v>
      </c>
      <c r="C30" s="12"/>
      <c r="D30" s="3">
        <f t="shared" ref="D30:D45" si="6">0</f>
        <v>0</v>
      </c>
      <c r="E30" s="3"/>
      <c r="F30" s="22"/>
      <c r="G30" s="3"/>
      <c r="H30" s="3">
        <f>--10341.86</f>
        <v>10341.86</v>
      </c>
      <c r="I30" s="3"/>
      <c r="J30" s="22"/>
      <c r="K30" s="3"/>
      <c r="L30" s="3">
        <f t="shared" si="0"/>
        <v>-10341.86</v>
      </c>
      <c r="M30" s="3"/>
      <c r="N30" s="22">
        <f t="shared" si="1"/>
        <v>-1</v>
      </c>
      <c r="O30" s="12"/>
      <c r="P30" s="3">
        <f t="shared" ref="P30:P45" si="7">0</f>
        <v>0</v>
      </c>
      <c r="Q30" s="3"/>
      <c r="R30" s="22"/>
      <c r="S30" s="3"/>
      <c r="T30" s="3">
        <f>--10341.86</f>
        <v>10341.86</v>
      </c>
      <c r="U30" s="3"/>
      <c r="V30" s="22"/>
      <c r="W30" s="3"/>
      <c r="X30" s="3">
        <f t="shared" si="2"/>
        <v>-10341.86</v>
      </c>
      <c r="Y30" s="3"/>
      <c r="Z30" s="22">
        <f t="shared" si="3"/>
        <v>-1</v>
      </c>
    </row>
    <row r="31" spans="1:26" s="24" customFormat="1" hidden="1" outlineLevel="1" x14ac:dyDescent="0.3">
      <c r="A31" s="50"/>
      <c r="B31" s="12" t="str">
        <f>CONCATENATE("          ", "4102", " - ", "NON-TAXABLE SALES-USED TEXT")</f>
        <v xml:space="preserve">          4102 - NON-TAXABLE SALES-USED TEXT</v>
      </c>
      <c r="C31" s="12"/>
      <c r="D31" s="3">
        <f t="shared" si="6"/>
        <v>0</v>
      </c>
      <c r="E31" s="3"/>
      <c r="F31" s="22"/>
      <c r="G31" s="3"/>
      <c r="H31" s="3">
        <f>--4190.44</f>
        <v>4190.4399999999996</v>
      </c>
      <c r="I31" s="3"/>
      <c r="J31" s="22"/>
      <c r="K31" s="3"/>
      <c r="L31" s="3">
        <f t="shared" si="0"/>
        <v>-4190.4399999999996</v>
      </c>
      <c r="M31" s="3"/>
      <c r="N31" s="22">
        <f t="shared" si="1"/>
        <v>-1</v>
      </c>
      <c r="O31" s="12"/>
      <c r="P31" s="3">
        <f t="shared" si="7"/>
        <v>0</v>
      </c>
      <c r="Q31" s="3"/>
      <c r="R31" s="22"/>
      <c r="S31" s="3"/>
      <c r="T31" s="3">
        <f>--4190.44</f>
        <v>4190.4399999999996</v>
      </c>
      <c r="U31" s="3"/>
      <c r="V31" s="22"/>
      <c r="W31" s="3"/>
      <c r="X31" s="3">
        <f t="shared" si="2"/>
        <v>-4190.4399999999996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"4104", " - ", "NON-TAXABLE SALES-DIGITAL TEXT")</f>
        <v xml:space="preserve">          4104 - NON-TAXABLE SALES-DIGITAL TEXT</v>
      </c>
      <c r="C32" s="12"/>
      <c r="D32" s="3">
        <f t="shared" si="6"/>
        <v>0</v>
      </c>
      <c r="E32" s="3"/>
      <c r="F32" s="22"/>
      <c r="G32" s="3"/>
      <c r="H32" s="3">
        <f>--7485.52</f>
        <v>7485.52</v>
      </c>
      <c r="I32" s="3"/>
      <c r="J32" s="22"/>
      <c r="K32" s="3"/>
      <c r="L32" s="3">
        <f t="shared" si="0"/>
        <v>-7485.52</v>
      </c>
      <c r="M32" s="3"/>
      <c r="N32" s="22">
        <f t="shared" si="1"/>
        <v>-1</v>
      </c>
      <c r="O32" s="12"/>
      <c r="P32" s="3">
        <f t="shared" si="7"/>
        <v>0</v>
      </c>
      <c r="Q32" s="3"/>
      <c r="R32" s="22"/>
      <c r="S32" s="3"/>
      <c r="T32" s="3">
        <f>--7485.52</f>
        <v>7485.52</v>
      </c>
      <c r="U32" s="3"/>
      <c r="V32" s="22"/>
      <c r="W32" s="3"/>
      <c r="X32" s="3">
        <f t="shared" si="2"/>
        <v>-7485.52</v>
      </c>
      <c r="Y32" s="3"/>
      <c r="Z32" s="22">
        <f t="shared" si="3"/>
        <v>-1</v>
      </c>
    </row>
    <row r="33" spans="1:26" s="24" customFormat="1" hidden="1" outlineLevel="1" x14ac:dyDescent="0.3">
      <c r="A33" s="50"/>
      <c r="B33" s="12" t="str">
        <f>CONCATENATE("          ", "4118", " - ", "NON-TAXABLE SALES-STUDY GUIDES")</f>
        <v xml:space="preserve">          4118 - NON-TAXABLE SALES-STUDY GUIDES</v>
      </c>
      <c r="C33" s="12"/>
      <c r="D33" s="3">
        <f t="shared" si="6"/>
        <v>0</v>
      </c>
      <c r="E33" s="3"/>
      <c r="F33" s="22"/>
      <c r="G33" s="3"/>
      <c r="H33" s="3">
        <f>--53.96</f>
        <v>53.96</v>
      </c>
      <c r="I33" s="3"/>
      <c r="J33" s="22"/>
      <c r="K33" s="3"/>
      <c r="L33" s="3">
        <f t="shared" si="0"/>
        <v>-53.96</v>
      </c>
      <c r="M33" s="3"/>
      <c r="N33" s="22">
        <f t="shared" si="1"/>
        <v>-1</v>
      </c>
      <c r="O33" s="12"/>
      <c r="P33" s="3">
        <f t="shared" si="7"/>
        <v>0</v>
      </c>
      <c r="Q33" s="3"/>
      <c r="R33" s="22"/>
      <c r="S33" s="3"/>
      <c r="T33" s="3">
        <f>--53.96</f>
        <v>53.96</v>
      </c>
      <c r="U33" s="3"/>
      <c r="V33" s="22"/>
      <c r="W33" s="3"/>
      <c r="X33" s="3">
        <f t="shared" si="2"/>
        <v>-53.96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"4126", " - ", "NON-TAXABLE SALES-WRITING INST")</f>
        <v xml:space="preserve">          4126 - NON-TAXABLE SALES-WRITING INST</v>
      </c>
      <c r="C34" s="12"/>
      <c r="D34" s="3">
        <f t="shared" si="6"/>
        <v>0</v>
      </c>
      <c r="E34" s="3"/>
      <c r="F34" s="22"/>
      <c r="G34" s="3"/>
      <c r="H34" s="3">
        <f>--52.68</f>
        <v>52.68</v>
      </c>
      <c r="I34" s="3"/>
      <c r="J34" s="22"/>
      <c r="K34" s="3"/>
      <c r="L34" s="3">
        <f t="shared" si="0"/>
        <v>-52.68</v>
      </c>
      <c r="M34" s="3"/>
      <c r="N34" s="22">
        <f t="shared" si="1"/>
        <v>-1</v>
      </c>
      <c r="O34" s="12"/>
      <c r="P34" s="3">
        <f t="shared" si="7"/>
        <v>0</v>
      </c>
      <c r="Q34" s="3"/>
      <c r="R34" s="22"/>
      <c r="S34" s="3"/>
      <c r="T34" s="3">
        <f>--52.68</f>
        <v>52.68</v>
      </c>
      <c r="U34" s="3"/>
      <c r="V34" s="22"/>
      <c r="W34" s="3"/>
      <c r="X34" s="3">
        <f t="shared" si="2"/>
        <v>-52.68</v>
      </c>
      <c r="Y34" s="3"/>
      <c r="Z34" s="22">
        <f t="shared" si="3"/>
        <v>-1</v>
      </c>
    </row>
    <row r="35" spans="1:26" s="24" customFormat="1" hidden="1" outlineLevel="1" x14ac:dyDescent="0.3">
      <c r="A35" s="50"/>
      <c r="B35" s="12" t="str">
        <f>CONCATENATE("          ", "4127", " - ", "NON-TAXABLE SALES-SCHOOL SUPPL")</f>
        <v xml:space="preserve">          4127 - NON-TAXABLE SALES-SCHOOL SUPPL</v>
      </c>
      <c r="C35" s="12"/>
      <c r="D35" s="3">
        <f t="shared" si="6"/>
        <v>0</v>
      </c>
      <c r="E35" s="3"/>
      <c r="F35" s="22"/>
      <c r="G35" s="3"/>
      <c r="H35" s="3">
        <f>--72.25</f>
        <v>72.25</v>
      </c>
      <c r="I35" s="3"/>
      <c r="J35" s="22"/>
      <c r="K35" s="3"/>
      <c r="L35" s="3">
        <f t="shared" si="0"/>
        <v>-72.25</v>
      </c>
      <c r="M35" s="3"/>
      <c r="N35" s="22">
        <f t="shared" si="1"/>
        <v>-1</v>
      </c>
      <c r="O35" s="12"/>
      <c r="P35" s="3">
        <f t="shared" si="7"/>
        <v>0</v>
      </c>
      <c r="Q35" s="3"/>
      <c r="R35" s="22"/>
      <c r="S35" s="3"/>
      <c r="T35" s="3">
        <f>--72.25</f>
        <v>72.25</v>
      </c>
      <c r="U35" s="3"/>
      <c r="V35" s="22"/>
      <c r="W35" s="3"/>
      <c r="X35" s="3">
        <f t="shared" si="2"/>
        <v>-72.25</v>
      </c>
      <c r="Y35" s="3"/>
      <c r="Z35" s="22">
        <f t="shared" si="3"/>
        <v>-1</v>
      </c>
    </row>
    <row r="36" spans="1:26" s="24" customFormat="1" hidden="1" outlineLevel="1" x14ac:dyDescent="0.3">
      <c r="A36" s="50"/>
      <c r="B36" s="12" t="str">
        <f>CONCATENATE("          ", "4131", " - ", "NON-TAXABLE SALES-FOOD")</f>
        <v xml:space="preserve">          4131 - NON-TAXABLE SALES-FOOD</v>
      </c>
      <c r="C36" s="12"/>
      <c r="D36" s="3">
        <f t="shared" si="6"/>
        <v>0</v>
      </c>
      <c r="E36" s="3"/>
      <c r="F36" s="22"/>
      <c r="G36" s="3"/>
      <c r="H36" s="3">
        <f>--259.43</f>
        <v>259.43</v>
      </c>
      <c r="I36" s="3"/>
      <c r="J36" s="22"/>
      <c r="K36" s="3"/>
      <c r="L36" s="3">
        <f t="shared" si="0"/>
        <v>-259.43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--259.43</f>
        <v>259.43</v>
      </c>
      <c r="U36" s="3"/>
      <c r="V36" s="22"/>
      <c r="W36" s="3"/>
      <c r="X36" s="3">
        <f t="shared" si="2"/>
        <v>-259.43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"4132", " - ", "NON-TAXABLE SALES-JUICE")</f>
        <v xml:space="preserve">          4132 - NON-TAXABLE SALES-JUICE</v>
      </c>
      <c r="C37" s="12"/>
      <c r="D37" s="3">
        <f t="shared" si="6"/>
        <v>0</v>
      </c>
      <c r="E37" s="3"/>
      <c r="F37" s="22"/>
      <c r="G37" s="3"/>
      <c r="H37" s="3">
        <f>--22.49</f>
        <v>22.49</v>
      </c>
      <c r="I37" s="3"/>
      <c r="J37" s="22"/>
      <c r="K37" s="3"/>
      <c r="L37" s="3">
        <f t="shared" si="0"/>
        <v>-22.49</v>
      </c>
      <c r="M37" s="3"/>
      <c r="N37" s="22">
        <f t="shared" si="1"/>
        <v>-1</v>
      </c>
      <c r="O37" s="12"/>
      <c r="P37" s="3">
        <f t="shared" si="7"/>
        <v>0</v>
      </c>
      <c r="Q37" s="3"/>
      <c r="R37" s="22"/>
      <c r="S37" s="3"/>
      <c r="T37" s="3">
        <f>--22.49</f>
        <v>22.49</v>
      </c>
      <c r="U37" s="3"/>
      <c r="V37" s="22"/>
      <c r="W37" s="3"/>
      <c r="X37" s="3">
        <f t="shared" si="2"/>
        <v>-22.49</v>
      </c>
      <c r="Y37" s="3"/>
      <c r="Z37" s="22">
        <f t="shared" si="3"/>
        <v>-1</v>
      </c>
    </row>
    <row r="38" spans="1:26" s="24" customFormat="1" hidden="1" outlineLevel="1" x14ac:dyDescent="0.3">
      <c r="A38" s="50"/>
      <c r="B38" s="12" t="str">
        <f>CONCATENATE("          ", "4133", " - ", "NON-TAXABLE SALES-CANDY")</f>
        <v xml:space="preserve">          4133 - NON-TAXABLE SALES-CANDY</v>
      </c>
      <c r="C38" s="12"/>
      <c r="D38" s="3">
        <f t="shared" si="6"/>
        <v>0</v>
      </c>
      <c r="E38" s="3"/>
      <c r="F38" s="22"/>
      <c r="G38" s="3"/>
      <c r="H38" s="3">
        <f>--68.28</f>
        <v>68.28</v>
      </c>
      <c r="I38" s="3"/>
      <c r="J38" s="22"/>
      <c r="K38" s="3"/>
      <c r="L38" s="3">
        <f t="shared" si="0"/>
        <v>-68.28</v>
      </c>
      <c r="M38" s="3"/>
      <c r="N38" s="22">
        <f t="shared" si="1"/>
        <v>-1</v>
      </c>
      <c r="O38" s="12"/>
      <c r="P38" s="3">
        <f t="shared" si="7"/>
        <v>0</v>
      </c>
      <c r="Q38" s="3"/>
      <c r="R38" s="22"/>
      <c r="S38" s="3"/>
      <c r="T38" s="3">
        <f>--68.28</f>
        <v>68.28</v>
      </c>
      <c r="U38" s="3"/>
      <c r="V38" s="22"/>
      <c r="W38" s="3"/>
      <c r="X38" s="3">
        <f t="shared" si="2"/>
        <v>-68.28</v>
      </c>
      <c r="Y38" s="3"/>
      <c r="Z38" s="22">
        <f t="shared" si="3"/>
        <v>-1</v>
      </c>
    </row>
    <row r="39" spans="1:26" s="24" customFormat="1" hidden="1" outlineLevel="1" x14ac:dyDescent="0.3">
      <c r="A39" s="50"/>
      <c r="B39" s="12" t="str">
        <f>CONCATENATE("          ", "4134", " - ", "NON-TAXABLE SALES-SODA")</f>
        <v xml:space="preserve">          4134 - NON-TAXABLE SALES-SODA</v>
      </c>
      <c r="C39" s="12"/>
      <c r="D39" s="3">
        <f t="shared" si="6"/>
        <v>0</v>
      </c>
      <c r="E39" s="3"/>
      <c r="F39" s="22"/>
      <c r="G39" s="3"/>
      <c r="H39" s="3">
        <f>--45.53</f>
        <v>45.53</v>
      </c>
      <c r="I39" s="3"/>
      <c r="J39" s="22"/>
      <c r="K39" s="3"/>
      <c r="L39" s="3">
        <f t="shared" si="0"/>
        <v>-45.53</v>
      </c>
      <c r="M39" s="3"/>
      <c r="N39" s="22">
        <f t="shared" si="1"/>
        <v>-1</v>
      </c>
      <c r="O39" s="12"/>
      <c r="P39" s="3">
        <f t="shared" si="7"/>
        <v>0</v>
      </c>
      <c r="Q39" s="3"/>
      <c r="R39" s="22"/>
      <c r="S39" s="3"/>
      <c r="T39" s="3">
        <f>--45.53</f>
        <v>45.53</v>
      </c>
      <c r="U39" s="3"/>
      <c r="V39" s="22"/>
      <c r="W39" s="3"/>
      <c r="X39" s="3">
        <f t="shared" si="2"/>
        <v>-45.53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"4137", " - ", "NON-TAXABLE SALES-WATER")</f>
        <v xml:space="preserve">          4137 - NON-TAXABLE SALES-WATER</v>
      </c>
      <c r="C40" s="12"/>
      <c r="D40" s="3">
        <f t="shared" si="6"/>
        <v>0</v>
      </c>
      <c r="E40" s="3"/>
      <c r="F40" s="22"/>
      <c r="G40" s="3"/>
      <c r="H40" s="3">
        <f>--68.25</f>
        <v>68.25</v>
      </c>
      <c r="I40" s="3"/>
      <c r="J40" s="22"/>
      <c r="K40" s="3"/>
      <c r="L40" s="3">
        <f t="shared" si="0"/>
        <v>-68.25</v>
      </c>
      <c r="M40" s="3"/>
      <c r="N40" s="22">
        <f t="shared" si="1"/>
        <v>-1</v>
      </c>
      <c r="O40" s="12"/>
      <c r="P40" s="3">
        <f t="shared" si="7"/>
        <v>0</v>
      </c>
      <c r="Q40" s="3"/>
      <c r="R40" s="22"/>
      <c r="S40" s="3"/>
      <c r="T40" s="3">
        <f>--68.25</f>
        <v>68.25</v>
      </c>
      <c r="U40" s="3"/>
      <c r="V40" s="22"/>
      <c r="W40" s="3"/>
      <c r="X40" s="3">
        <f t="shared" si="2"/>
        <v>-68.25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"4140", " - ", "NON-TAXABLE SALES-LOGO CLOTHIN")</f>
        <v xml:space="preserve">          4140 - NON-TAXABLE SALES-LOGO CLOTHIN</v>
      </c>
      <c r="C41" s="12"/>
      <c r="D41" s="3">
        <f t="shared" si="6"/>
        <v>0</v>
      </c>
      <c r="E41" s="3"/>
      <c r="F41" s="22"/>
      <c r="G41" s="3"/>
      <c r="H41" s="3">
        <f>--6846.24</f>
        <v>6846.24</v>
      </c>
      <c r="I41" s="3"/>
      <c r="J41" s="22"/>
      <c r="K41" s="3"/>
      <c r="L41" s="3">
        <f t="shared" si="0"/>
        <v>-6846.24</v>
      </c>
      <c r="M41" s="3"/>
      <c r="N41" s="22">
        <f t="shared" si="1"/>
        <v>-1</v>
      </c>
      <c r="O41" s="12"/>
      <c r="P41" s="3">
        <f t="shared" si="7"/>
        <v>0</v>
      </c>
      <c r="Q41" s="3"/>
      <c r="R41" s="22"/>
      <c r="S41" s="3"/>
      <c r="T41" s="3">
        <f>--6846.24</f>
        <v>6846.24</v>
      </c>
      <c r="U41" s="3"/>
      <c r="V41" s="22"/>
      <c r="W41" s="3"/>
      <c r="X41" s="3">
        <f t="shared" si="2"/>
        <v>-6846.24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"4141", " - ", "NON-TAXABLE SALES-LOGO GIFTS")</f>
        <v xml:space="preserve">          4141 - NON-TAXABLE SALES-LOGO GIFTS</v>
      </c>
      <c r="C42" s="12"/>
      <c r="D42" s="3">
        <f t="shared" si="6"/>
        <v>0</v>
      </c>
      <c r="E42" s="3"/>
      <c r="F42" s="22"/>
      <c r="G42" s="3"/>
      <c r="H42" s="3">
        <f>--1200.19</f>
        <v>1200.19</v>
      </c>
      <c r="I42" s="3"/>
      <c r="J42" s="22"/>
      <c r="K42" s="3"/>
      <c r="L42" s="3">
        <f t="shared" si="0"/>
        <v>-1200.19</v>
      </c>
      <c r="M42" s="3"/>
      <c r="N42" s="22">
        <f t="shared" si="1"/>
        <v>-1</v>
      </c>
      <c r="O42" s="12"/>
      <c r="P42" s="3">
        <f t="shared" si="7"/>
        <v>0</v>
      </c>
      <c r="Q42" s="3"/>
      <c r="R42" s="22"/>
      <c r="S42" s="3"/>
      <c r="T42" s="3">
        <f>--1200.19</f>
        <v>1200.19</v>
      </c>
      <c r="U42" s="3"/>
      <c r="V42" s="22"/>
      <c r="W42" s="3"/>
      <c r="X42" s="3">
        <f t="shared" si="2"/>
        <v>-1200.19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"4142", " - ", "NON-TAXABLE SALES-EVERYDAY GIF")</f>
        <v xml:space="preserve">          4142 - NON-TAXABLE SALES-EVERYDAY GIF</v>
      </c>
      <c r="C43" s="12"/>
      <c r="D43" s="3">
        <f t="shared" si="6"/>
        <v>0</v>
      </c>
      <c r="E43" s="3"/>
      <c r="F43" s="22"/>
      <c r="G43" s="3"/>
      <c r="H43" s="3">
        <f>--640.17</f>
        <v>640.16999999999996</v>
      </c>
      <c r="I43" s="3"/>
      <c r="J43" s="22"/>
      <c r="K43" s="3"/>
      <c r="L43" s="3">
        <f t="shared" si="0"/>
        <v>-640.16999999999996</v>
      </c>
      <c r="M43" s="3"/>
      <c r="N43" s="22">
        <f t="shared" si="1"/>
        <v>-1</v>
      </c>
      <c r="O43" s="12"/>
      <c r="P43" s="3">
        <f t="shared" si="7"/>
        <v>0</v>
      </c>
      <c r="Q43" s="3"/>
      <c r="R43" s="22"/>
      <c r="S43" s="3"/>
      <c r="T43" s="3">
        <f>--640.17</f>
        <v>640.16999999999996</v>
      </c>
      <c r="U43" s="3"/>
      <c r="V43" s="22"/>
      <c r="W43" s="3"/>
      <c r="X43" s="3">
        <f t="shared" si="2"/>
        <v>-640.16999999999996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"4144", " - ", "NON-TAXABLE SALES-ACCESSORIES")</f>
        <v xml:space="preserve">          4144 - NON-TAXABLE SALES-ACCESSORIES</v>
      </c>
      <c r="C44" s="12"/>
      <c r="D44" s="3">
        <f t="shared" si="6"/>
        <v>0</v>
      </c>
      <c r="E44" s="3"/>
      <c r="F44" s="22"/>
      <c r="G44" s="3"/>
      <c r="H44" s="3">
        <f>--47.85</f>
        <v>47.85</v>
      </c>
      <c r="I44" s="3"/>
      <c r="J44" s="22"/>
      <c r="K44" s="3"/>
      <c r="L44" s="3">
        <f t="shared" si="0"/>
        <v>-47.85</v>
      </c>
      <c r="M44" s="3"/>
      <c r="N44" s="22">
        <f t="shared" si="1"/>
        <v>-1</v>
      </c>
      <c r="O44" s="12"/>
      <c r="P44" s="3">
        <f t="shared" si="7"/>
        <v>0</v>
      </c>
      <c r="Q44" s="3"/>
      <c r="R44" s="22"/>
      <c r="S44" s="3"/>
      <c r="T44" s="3">
        <f>--47.85</f>
        <v>47.85</v>
      </c>
      <c r="U44" s="3"/>
      <c r="V44" s="22"/>
      <c r="W44" s="3"/>
      <c r="X44" s="3">
        <f t="shared" si="2"/>
        <v>-47.85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"4145", " - ", "NON-TAXABLE SALES-SPECIAL ORDE")</f>
        <v xml:space="preserve">          4145 - NON-TAXABLE SALES-SPECIAL ORDE</v>
      </c>
      <c r="C45" s="12"/>
      <c r="D45" s="3">
        <f t="shared" si="6"/>
        <v>0</v>
      </c>
      <c r="E45" s="3"/>
      <c r="F45" s="22"/>
      <c r="G45" s="3"/>
      <c r="H45" s="3">
        <f>--35496</f>
        <v>35496</v>
      </c>
      <c r="I45" s="3"/>
      <c r="J45" s="22"/>
      <c r="K45" s="3"/>
      <c r="L45" s="3">
        <f t="shared" si="0"/>
        <v>-35496</v>
      </c>
      <c r="M45" s="3"/>
      <c r="N45" s="22">
        <f t="shared" si="1"/>
        <v>-1</v>
      </c>
      <c r="O45" s="12"/>
      <c r="P45" s="3">
        <f t="shared" si="7"/>
        <v>0</v>
      </c>
      <c r="Q45" s="3"/>
      <c r="R45" s="22"/>
      <c r="S45" s="3"/>
      <c r="T45" s="3">
        <f>--35496</f>
        <v>35496</v>
      </c>
      <c r="U45" s="3"/>
      <c r="V45" s="22"/>
      <c r="W45" s="3"/>
      <c r="X45" s="3">
        <f t="shared" si="2"/>
        <v>-35496</v>
      </c>
      <c r="Y45" s="3"/>
      <c r="Z45" s="22">
        <f t="shared" si="3"/>
        <v>-1</v>
      </c>
    </row>
    <row r="46" spans="1:26" s="24" customFormat="1" hidden="1" outlineLevel="1" x14ac:dyDescent="0.3">
      <c r="A46" s="50"/>
      <c r="B46" s="12" t="str">
        <f>CONCATENATE("          ", "4146", " - ", "NON-TAXABLE SALES-COIN OP MACH")</f>
        <v xml:space="preserve">          4146 - NON-TAXABLE SALES-COIN OP MACH</v>
      </c>
      <c r="C46" s="12"/>
      <c r="D46" s="3">
        <f>--20.2</f>
        <v>20.2</v>
      </c>
      <c r="E46" s="3"/>
      <c r="F46" s="22"/>
      <c r="G46" s="3"/>
      <c r="H46" s="3">
        <f>0</f>
        <v>0</v>
      </c>
      <c r="I46" s="3"/>
      <c r="J46" s="22"/>
      <c r="K46" s="3"/>
      <c r="L46" s="3">
        <f t="shared" si="0"/>
        <v>20.2</v>
      </c>
      <c r="M46" s="3"/>
      <c r="N46" s="22">
        <f t="shared" si="1"/>
        <v>0</v>
      </c>
      <c r="O46" s="12"/>
      <c r="P46" s="3">
        <f>--20.2</f>
        <v>20.2</v>
      </c>
      <c r="Q46" s="3"/>
      <c r="R46" s="22"/>
      <c r="S46" s="3"/>
      <c r="T46" s="3">
        <f>0</f>
        <v>0</v>
      </c>
      <c r="U46" s="3"/>
      <c r="V46" s="22"/>
      <c r="W46" s="3"/>
      <c r="X46" s="3">
        <f t="shared" si="2"/>
        <v>20.2</v>
      </c>
      <c r="Y46" s="3"/>
      <c r="Z46" s="22">
        <f t="shared" si="3"/>
        <v>0</v>
      </c>
    </row>
    <row r="47" spans="1:26" s="24" customFormat="1" hidden="1" outlineLevel="1" x14ac:dyDescent="0.3">
      <c r="A47" s="50"/>
      <c r="B47" s="12" t="str">
        <f>CONCATENATE("          ", "4147", " - ", "NON-TAXABLE SALES-MISC")</f>
        <v xml:space="preserve">          4147 - NON-TAXABLE SALES-MISC</v>
      </c>
      <c r="C47" s="12"/>
      <c r="D47" s="3">
        <f>0</f>
        <v>0</v>
      </c>
      <c r="E47" s="3"/>
      <c r="F47" s="22"/>
      <c r="G47" s="3"/>
      <c r="H47" s="3">
        <f>--1</f>
        <v>1</v>
      </c>
      <c r="I47" s="3"/>
      <c r="J47" s="22"/>
      <c r="K47" s="3"/>
      <c r="L47" s="3">
        <f t="shared" si="0"/>
        <v>-1</v>
      </c>
      <c r="M47" s="3"/>
      <c r="N47" s="22">
        <f t="shared" si="1"/>
        <v>-1</v>
      </c>
      <c r="O47" s="12"/>
      <c r="P47" s="3">
        <f>0</f>
        <v>0</v>
      </c>
      <c r="Q47" s="3"/>
      <c r="R47" s="22"/>
      <c r="S47" s="3"/>
      <c r="T47" s="3">
        <f>--1</f>
        <v>1</v>
      </c>
      <c r="U47" s="3"/>
      <c r="V47" s="22"/>
      <c r="W47" s="3"/>
      <c r="X47" s="3">
        <f t="shared" si="2"/>
        <v>-1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"4200", " - ", "TAXABLE RETURNS")</f>
        <v xml:space="preserve">          4200 - TAXABLE RETURNS</v>
      </c>
      <c r="C48" s="12"/>
      <c r="D48" s="3">
        <f>-5566.27</f>
        <v>-5566.27</v>
      </c>
      <c r="E48" s="3"/>
      <c r="F48" s="22"/>
      <c r="G48" s="3"/>
      <c r="H48" s="3">
        <f>0</f>
        <v>0</v>
      </c>
      <c r="I48" s="3"/>
      <c r="J48" s="22"/>
      <c r="K48" s="3"/>
      <c r="L48" s="3">
        <f t="shared" si="0"/>
        <v>-5566.27</v>
      </c>
      <c r="M48" s="3"/>
      <c r="N48" s="22">
        <f t="shared" si="1"/>
        <v>0</v>
      </c>
      <c r="O48" s="12"/>
      <c r="P48" s="3">
        <f>-5566.27</f>
        <v>-5566.27</v>
      </c>
      <c r="Q48" s="3"/>
      <c r="R48" s="22"/>
      <c r="S48" s="3"/>
      <c r="T48" s="3">
        <f>0</f>
        <v>0</v>
      </c>
      <c r="U48" s="3"/>
      <c r="V48" s="22"/>
      <c r="W48" s="3"/>
      <c r="X48" s="3">
        <f t="shared" si="2"/>
        <v>-5566.27</v>
      </c>
      <c r="Y48" s="3"/>
      <c r="Z48" s="22">
        <f t="shared" si="3"/>
        <v>0</v>
      </c>
    </row>
    <row r="49" spans="1:26" s="24" customFormat="1" hidden="1" outlineLevel="1" x14ac:dyDescent="0.3">
      <c r="A49" s="50"/>
      <c r="B49" s="12" t="str">
        <f>CONCATENATE("          ", "4201", " - ", "SALES RETURN TAXABLE-NEW TEXT")</f>
        <v xml:space="preserve">          4201 - SALES RETURN TAXABLE-NEW TEXT</v>
      </c>
      <c r="C49" s="12"/>
      <c r="D49" s="3">
        <f t="shared" ref="D49:D56" si="8">0</f>
        <v>0</v>
      </c>
      <c r="E49" s="3"/>
      <c r="F49" s="22"/>
      <c r="G49" s="3"/>
      <c r="H49" s="3">
        <f>-633.4</f>
        <v>-633.4</v>
      </c>
      <c r="I49" s="3"/>
      <c r="J49" s="22"/>
      <c r="K49" s="3"/>
      <c r="L49" s="3">
        <f t="shared" si="0"/>
        <v>633.4</v>
      </c>
      <c r="M49" s="3"/>
      <c r="N49" s="22">
        <f t="shared" si="1"/>
        <v>-1</v>
      </c>
      <c r="O49" s="12"/>
      <c r="P49" s="3">
        <f t="shared" ref="P49:P56" si="9">0</f>
        <v>0</v>
      </c>
      <c r="Q49" s="3"/>
      <c r="R49" s="22"/>
      <c r="S49" s="3"/>
      <c r="T49" s="3">
        <f>-633.4</f>
        <v>-633.4</v>
      </c>
      <c r="U49" s="3"/>
      <c r="V49" s="22"/>
      <c r="W49" s="3"/>
      <c r="X49" s="3">
        <f t="shared" si="2"/>
        <v>633.4</v>
      </c>
      <c r="Y49" s="3"/>
      <c r="Z49" s="22">
        <f t="shared" si="3"/>
        <v>-1</v>
      </c>
    </row>
    <row r="50" spans="1:26" s="24" customFormat="1" hidden="1" outlineLevel="1" x14ac:dyDescent="0.3">
      <c r="A50" s="50"/>
      <c r="B50" s="12" t="str">
        <f>CONCATENATE("          ", "4202", " - ", "SALES RETURN TAXABLE-USED TEXT")</f>
        <v xml:space="preserve">          4202 - SALES RETURN TAXABLE-USED TEXT</v>
      </c>
      <c r="C50" s="12"/>
      <c r="D50" s="3">
        <f t="shared" si="8"/>
        <v>0</v>
      </c>
      <c r="E50" s="3"/>
      <c r="F50" s="22"/>
      <c r="G50" s="3"/>
      <c r="H50" s="3">
        <f>-178.35</f>
        <v>-178.35</v>
      </c>
      <c r="I50" s="3"/>
      <c r="J50" s="22"/>
      <c r="K50" s="3"/>
      <c r="L50" s="3">
        <f t="shared" si="0"/>
        <v>178.35</v>
      </c>
      <c r="M50" s="3"/>
      <c r="N50" s="22">
        <f t="shared" si="1"/>
        <v>-1</v>
      </c>
      <c r="O50" s="12"/>
      <c r="P50" s="3">
        <f t="shared" si="9"/>
        <v>0</v>
      </c>
      <c r="Q50" s="3"/>
      <c r="R50" s="22"/>
      <c r="S50" s="3"/>
      <c r="T50" s="3">
        <f>-178.35</f>
        <v>-178.35</v>
      </c>
      <c r="U50" s="3"/>
      <c r="V50" s="22"/>
      <c r="W50" s="3"/>
      <c r="X50" s="3">
        <f t="shared" si="2"/>
        <v>178.35</v>
      </c>
      <c r="Y50" s="3"/>
      <c r="Z50" s="22">
        <f t="shared" si="3"/>
        <v>-1</v>
      </c>
    </row>
    <row r="51" spans="1:26" s="24" customFormat="1" hidden="1" outlineLevel="1" x14ac:dyDescent="0.3">
      <c r="A51" s="50"/>
      <c r="B51" s="12" t="str">
        <f>CONCATENATE("          ", "4226", " - ", "SALES RETURN TAXABLE-WRITING I")</f>
        <v xml:space="preserve">          4226 - SALES RETURN TAXABLE-WRITING I</v>
      </c>
      <c r="C51" s="12"/>
      <c r="D51" s="3">
        <f t="shared" si="8"/>
        <v>0</v>
      </c>
      <c r="E51" s="3"/>
      <c r="F51" s="22"/>
      <c r="G51" s="3"/>
      <c r="H51" s="3">
        <f>-6.38</f>
        <v>-6.38</v>
      </c>
      <c r="I51" s="3"/>
      <c r="J51" s="22"/>
      <c r="K51" s="3"/>
      <c r="L51" s="3">
        <f t="shared" si="0"/>
        <v>6.38</v>
      </c>
      <c r="M51" s="3"/>
      <c r="N51" s="22">
        <f t="shared" si="1"/>
        <v>-1</v>
      </c>
      <c r="O51" s="12"/>
      <c r="P51" s="3">
        <f t="shared" si="9"/>
        <v>0</v>
      </c>
      <c r="Q51" s="3"/>
      <c r="R51" s="22"/>
      <c r="S51" s="3"/>
      <c r="T51" s="3">
        <f>-6.38</f>
        <v>-6.38</v>
      </c>
      <c r="U51" s="3"/>
      <c r="V51" s="22"/>
      <c r="W51" s="3"/>
      <c r="X51" s="3">
        <f t="shared" si="2"/>
        <v>6.38</v>
      </c>
      <c r="Y51" s="3"/>
      <c r="Z51" s="22">
        <f t="shared" si="3"/>
        <v>-1</v>
      </c>
    </row>
    <row r="52" spans="1:26" s="24" customFormat="1" hidden="1" outlineLevel="1" x14ac:dyDescent="0.3">
      <c r="A52" s="50"/>
      <c r="B52" s="12" t="str">
        <f>CONCATENATE("          ", "4227", " - ", "SALES RETURN TAXABLE-SCHOOL SU")</f>
        <v xml:space="preserve">          4227 - SALES RETURN TAXABLE-SCHOOL SU</v>
      </c>
      <c r="C52" s="12"/>
      <c r="D52" s="3">
        <f t="shared" si="8"/>
        <v>0</v>
      </c>
      <c r="E52" s="3"/>
      <c r="F52" s="22"/>
      <c r="G52" s="3"/>
      <c r="H52" s="3">
        <f>-56.77</f>
        <v>-56.77</v>
      </c>
      <c r="I52" s="3"/>
      <c r="J52" s="22"/>
      <c r="K52" s="3"/>
      <c r="L52" s="3">
        <f t="shared" si="0"/>
        <v>56.77</v>
      </c>
      <c r="M52" s="3"/>
      <c r="N52" s="22">
        <f t="shared" si="1"/>
        <v>-1</v>
      </c>
      <c r="O52" s="12"/>
      <c r="P52" s="3">
        <f t="shared" si="9"/>
        <v>0</v>
      </c>
      <c r="Q52" s="3"/>
      <c r="R52" s="22"/>
      <c r="S52" s="3"/>
      <c r="T52" s="3">
        <f>-56.77</f>
        <v>-56.77</v>
      </c>
      <c r="U52" s="3"/>
      <c r="V52" s="22"/>
      <c r="W52" s="3"/>
      <c r="X52" s="3">
        <f t="shared" si="2"/>
        <v>56.77</v>
      </c>
      <c r="Y52" s="3"/>
      <c r="Z52" s="22">
        <f t="shared" si="3"/>
        <v>-1</v>
      </c>
    </row>
    <row r="53" spans="1:26" s="24" customFormat="1" hidden="1" outlineLevel="1" x14ac:dyDescent="0.3">
      <c r="A53" s="50"/>
      <c r="B53" s="12" t="str">
        <f>CONCATENATE("          ", "4240", " - ", "SALES RETURN TAXABLE-LOGO CLOT")</f>
        <v xml:space="preserve">          4240 - SALES RETURN TAXABLE-LOGO CLOT</v>
      </c>
      <c r="C53" s="12"/>
      <c r="D53" s="3">
        <f t="shared" si="8"/>
        <v>0</v>
      </c>
      <c r="E53" s="3"/>
      <c r="F53" s="22"/>
      <c r="G53" s="3"/>
      <c r="H53" s="3">
        <f>-3368.1</f>
        <v>-3368.1</v>
      </c>
      <c r="I53" s="3"/>
      <c r="J53" s="22"/>
      <c r="K53" s="3"/>
      <c r="L53" s="3">
        <f t="shared" si="0"/>
        <v>3368.1</v>
      </c>
      <c r="M53" s="3"/>
      <c r="N53" s="22">
        <f t="shared" si="1"/>
        <v>-1</v>
      </c>
      <c r="O53" s="12"/>
      <c r="P53" s="3">
        <f t="shared" si="9"/>
        <v>0</v>
      </c>
      <c r="Q53" s="3"/>
      <c r="R53" s="22"/>
      <c r="S53" s="3"/>
      <c r="T53" s="3">
        <f>-3368.1</f>
        <v>-3368.1</v>
      </c>
      <c r="U53" s="3"/>
      <c r="V53" s="22"/>
      <c r="W53" s="3"/>
      <c r="X53" s="3">
        <f t="shared" si="2"/>
        <v>3368.1</v>
      </c>
      <c r="Y53" s="3"/>
      <c r="Z53" s="22">
        <f t="shared" si="3"/>
        <v>-1</v>
      </c>
    </row>
    <row r="54" spans="1:26" s="24" customFormat="1" hidden="1" outlineLevel="1" x14ac:dyDescent="0.3">
      <c r="A54" s="50"/>
      <c r="B54" s="12" t="str">
        <f>CONCATENATE("          ", "4241", " - ", "SALES RETURN TAXABLE-LOGO GIFT")</f>
        <v xml:space="preserve">          4241 - SALES RETURN TAXABLE-LOGO GIFT</v>
      </c>
      <c r="C54" s="12"/>
      <c r="D54" s="3">
        <f t="shared" si="8"/>
        <v>0</v>
      </c>
      <c r="E54" s="3"/>
      <c r="F54" s="22"/>
      <c r="G54" s="3"/>
      <c r="H54" s="3">
        <f>-341.98</f>
        <v>-341.98</v>
      </c>
      <c r="I54" s="3"/>
      <c r="J54" s="22"/>
      <c r="K54" s="3"/>
      <c r="L54" s="3">
        <f t="shared" si="0"/>
        <v>341.98</v>
      </c>
      <c r="M54" s="3"/>
      <c r="N54" s="22">
        <f t="shared" si="1"/>
        <v>-1</v>
      </c>
      <c r="O54" s="12"/>
      <c r="P54" s="3">
        <f t="shared" si="9"/>
        <v>0</v>
      </c>
      <c r="Q54" s="3"/>
      <c r="R54" s="22"/>
      <c r="S54" s="3"/>
      <c r="T54" s="3">
        <f>-341.98</f>
        <v>-341.98</v>
      </c>
      <c r="U54" s="3"/>
      <c r="V54" s="22"/>
      <c r="W54" s="3"/>
      <c r="X54" s="3">
        <f t="shared" si="2"/>
        <v>341.98</v>
      </c>
      <c r="Y54" s="3"/>
      <c r="Z54" s="22">
        <f t="shared" si="3"/>
        <v>-1</v>
      </c>
    </row>
    <row r="55" spans="1:26" s="24" customFormat="1" hidden="1" outlineLevel="1" x14ac:dyDescent="0.3">
      <c r="A55" s="50"/>
      <c r="B55" s="12" t="str">
        <f>CONCATENATE("          ", "4242", " - ", "SALES RETURN TAXABLE-EVERYDAY")</f>
        <v xml:space="preserve">          4242 - SALES RETURN TAXABLE-EVERYDAY</v>
      </c>
      <c r="C55" s="12"/>
      <c r="D55" s="3">
        <f t="shared" si="8"/>
        <v>0</v>
      </c>
      <c r="E55" s="3"/>
      <c r="F55" s="22"/>
      <c r="G55" s="3"/>
      <c r="H55" s="3">
        <f>-178.96</f>
        <v>-178.96</v>
      </c>
      <c r="I55" s="3"/>
      <c r="J55" s="22"/>
      <c r="K55" s="3"/>
      <c r="L55" s="3">
        <f t="shared" si="0"/>
        <v>178.96</v>
      </c>
      <c r="M55" s="3"/>
      <c r="N55" s="22">
        <f t="shared" si="1"/>
        <v>-1</v>
      </c>
      <c r="O55" s="12"/>
      <c r="P55" s="3">
        <f t="shared" si="9"/>
        <v>0</v>
      </c>
      <c r="Q55" s="3"/>
      <c r="R55" s="22"/>
      <c r="S55" s="3"/>
      <c r="T55" s="3">
        <f>-178.96</f>
        <v>-178.96</v>
      </c>
      <c r="U55" s="3"/>
      <c r="V55" s="22"/>
      <c r="W55" s="3"/>
      <c r="X55" s="3">
        <f t="shared" si="2"/>
        <v>178.96</v>
      </c>
      <c r="Y55" s="3"/>
      <c r="Z55" s="22">
        <f t="shared" si="3"/>
        <v>-1</v>
      </c>
    </row>
    <row r="56" spans="1:26" s="24" customFormat="1" hidden="1" outlineLevel="1" x14ac:dyDescent="0.3">
      <c r="A56" s="50"/>
      <c r="B56" s="12" t="str">
        <f>CONCATENATE("          ", "4245", " - ", "SALES RETURN TAXABLE-SPECIAL O")</f>
        <v xml:space="preserve">          4245 - SALES RETURN TAXABLE-SPECIAL O</v>
      </c>
      <c r="C56" s="12"/>
      <c r="D56" s="3">
        <f t="shared" si="8"/>
        <v>0</v>
      </c>
      <c r="E56" s="3"/>
      <c r="F56" s="22"/>
      <c r="G56" s="3"/>
      <c r="H56" s="3">
        <f>-1121</f>
        <v>-1121</v>
      </c>
      <c r="I56" s="3"/>
      <c r="J56" s="22"/>
      <c r="K56" s="3"/>
      <c r="L56" s="3">
        <f t="shared" si="0"/>
        <v>1121</v>
      </c>
      <c r="M56" s="3"/>
      <c r="N56" s="22">
        <f t="shared" si="1"/>
        <v>-1</v>
      </c>
      <c r="O56" s="12"/>
      <c r="P56" s="3">
        <f t="shared" si="9"/>
        <v>0</v>
      </c>
      <c r="Q56" s="3"/>
      <c r="R56" s="22"/>
      <c r="S56" s="3"/>
      <c r="T56" s="3">
        <f>-1121</f>
        <v>-1121</v>
      </c>
      <c r="U56" s="3"/>
      <c r="V56" s="22"/>
      <c r="W56" s="3"/>
      <c r="X56" s="3">
        <f t="shared" si="2"/>
        <v>1121</v>
      </c>
      <c r="Y56" s="3"/>
      <c r="Z56" s="22">
        <f t="shared" si="3"/>
        <v>-1</v>
      </c>
    </row>
    <row r="57" spans="1:26" s="24" customFormat="1" hidden="1" outlineLevel="1" x14ac:dyDescent="0.3">
      <c r="A57" s="50"/>
      <c r="B57" s="12" t="str">
        <f>CONCATENATE("          ", "4300", " - ", "NON-TAX RETURNS")</f>
        <v xml:space="preserve">          4300 - NON-TAX RETURNS</v>
      </c>
      <c r="C57" s="12"/>
      <c r="D57" s="3">
        <f>-1102.58</f>
        <v>-1102.58</v>
      </c>
      <c r="E57" s="3"/>
      <c r="F57" s="22"/>
      <c r="G57" s="3"/>
      <c r="H57" s="3">
        <f>0</f>
        <v>0</v>
      </c>
      <c r="I57" s="3"/>
      <c r="J57" s="22"/>
      <c r="K57" s="3"/>
      <c r="L57" s="3">
        <f t="shared" si="0"/>
        <v>-1102.58</v>
      </c>
      <c r="M57" s="3"/>
      <c r="N57" s="22">
        <f t="shared" si="1"/>
        <v>0</v>
      </c>
      <c r="O57" s="12"/>
      <c r="P57" s="3">
        <f>-1102.58</f>
        <v>-1102.58</v>
      </c>
      <c r="Q57" s="3"/>
      <c r="R57" s="22"/>
      <c r="S57" s="3"/>
      <c r="T57" s="3">
        <f>0</f>
        <v>0</v>
      </c>
      <c r="U57" s="3"/>
      <c r="V57" s="22"/>
      <c r="W57" s="3"/>
      <c r="X57" s="3">
        <f t="shared" si="2"/>
        <v>-1102.58</v>
      </c>
      <c r="Y57" s="3"/>
      <c r="Z57" s="22">
        <f t="shared" si="3"/>
        <v>0</v>
      </c>
    </row>
    <row r="58" spans="1:26" s="24" customFormat="1" hidden="1" outlineLevel="1" x14ac:dyDescent="0.3">
      <c r="A58" s="50"/>
      <c r="B58" s="12" t="str">
        <f>CONCATENATE("          ", "4302", " - ", "SALES RETURN NON TAXABLE-TEXT")</f>
        <v xml:space="preserve">          4302 - SALES RETURN NON TAXABLE-TEXT</v>
      </c>
      <c r="C58" s="12"/>
      <c r="D58" s="3">
        <f t="shared" ref="D58:D62" si="10">0</f>
        <v>0</v>
      </c>
      <c r="E58" s="3"/>
      <c r="F58" s="22"/>
      <c r="G58" s="3"/>
      <c r="H58" s="3">
        <f>-63.67</f>
        <v>-63.67</v>
      </c>
      <c r="I58" s="3"/>
      <c r="J58" s="22"/>
      <c r="K58" s="3"/>
      <c r="L58" s="3">
        <f t="shared" si="0"/>
        <v>63.67</v>
      </c>
      <c r="M58" s="3"/>
      <c r="N58" s="22">
        <f t="shared" si="1"/>
        <v>-1</v>
      </c>
      <c r="O58" s="12"/>
      <c r="P58" s="3">
        <f t="shared" ref="P58:P62" si="11">0</f>
        <v>0</v>
      </c>
      <c r="Q58" s="3"/>
      <c r="R58" s="22"/>
      <c r="S58" s="3"/>
      <c r="T58" s="3">
        <f>-63.67</f>
        <v>-63.67</v>
      </c>
      <c r="U58" s="3"/>
      <c r="V58" s="22"/>
      <c r="W58" s="3"/>
      <c r="X58" s="3">
        <f t="shared" si="2"/>
        <v>63.67</v>
      </c>
      <c r="Y58" s="3"/>
      <c r="Z58" s="22">
        <f t="shared" si="3"/>
        <v>-1</v>
      </c>
    </row>
    <row r="59" spans="1:26" s="24" customFormat="1" hidden="1" outlineLevel="1" x14ac:dyDescent="0.3">
      <c r="A59" s="50"/>
      <c r="B59" s="12" t="str">
        <f>CONCATENATE("          ", "4304", " - ", "SALES RETURN NON TAXABLE-DIGIT")</f>
        <v xml:space="preserve">          4304 - SALES RETURN NON TAXABLE-DIGIT</v>
      </c>
      <c r="C59" s="12"/>
      <c r="D59" s="3">
        <f t="shared" si="10"/>
        <v>0</v>
      </c>
      <c r="E59" s="3"/>
      <c r="F59" s="22"/>
      <c r="G59" s="3"/>
      <c r="H59" s="3">
        <f>-452.05</f>
        <v>-452.05</v>
      </c>
      <c r="I59" s="3"/>
      <c r="J59" s="22"/>
      <c r="K59" s="3"/>
      <c r="L59" s="3">
        <f t="shared" si="0"/>
        <v>452.05</v>
      </c>
      <c r="M59" s="3"/>
      <c r="N59" s="22">
        <f t="shared" si="1"/>
        <v>-1</v>
      </c>
      <c r="O59" s="12"/>
      <c r="P59" s="3">
        <f t="shared" si="11"/>
        <v>0</v>
      </c>
      <c r="Q59" s="3"/>
      <c r="R59" s="22"/>
      <c r="S59" s="3"/>
      <c r="T59" s="3">
        <f>-452.05</f>
        <v>-452.05</v>
      </c>
      <c r="U59" s="3"/>
      <c r="V59" s="22"/>
      <c r="W59" s="3"/>
      <c r="X59" s="3">
        <f t="shared" si="2"/>
        <v>452.05</v>
      </c>
      <c r="Y59" s="3"/>
      <c r="Z59" s="22">
        <f t="shared" si="3"/>
        <v>-1</v>
      </c>
    </row>
    <row r="60" spans="1:26" s="24" customFormat="1" hidden="1" outlineLevel="1" x14ac:dyDescent="0.3">
      <c r="A60" s="50"/>
      <c r="B60" s="12" t="str">
        <f>CONCATENATE("          ", "4340", " - ", "SALES RETURN NON TAXABLE-LOGO")</f>
        <v xml:space="preserve">          4340 - SALES RETURN NON TAXABLE-LOGO</v>
      </c>
      <c r="C60" s="12"/>
      <c r="D60" s="3">
        <f t="shared" si="10"/>
        <v>0</v>
      </c>
      <c r="E60" s="3"/>
      <c r="F60" s="22"/>
      <c r="G60" s="3"/>
      <c r="H60" s="3">
        <f>-434.24</f>
        <v>-434.24</v>
      </c>
      <c r="I60" s="3"/>
      <c r="J60" s="22"/>
      <c r="K60" s="3"/>
      <c r="L60" s="3">
        <f t="shared" si="0"/>
        <v>434.24</v>
      </c>
      <c r="M60" s="3"/>
      <c r="N60" s="22">
        <f t="shared" si="1"/>
        <v>-1</v>
      </c>
      <c r="O60" s="12"/>
      <c r="P60" s="3">
        <f t="shared" si="11"/>
        <v>0</v>
      </c>
      <c r="Q60" s="3"/>
      <c r="R60" s="22"/>
      <c r="S60" s="3"/>
      <c r="T60" s="3">
        <f>-434.24</f>
        <v>-434.24</v>
      </c>
      <c r="U60" s="3"/>
      <c r="V60" s="22"/>
      <c r="W60" s="3"/>
      <c r="X60" s="3">
        <f t="shared" si="2"/>
        <v>434.24</v>
      </c>
      <c r="Y60" s="3"/>
      <c r="Z60" s="22">
        <f t="shared" si="3"/>
        <v>-1</v>
      </c>
    </row>
    <row r="61" spans="1:26" s="24" customFormat="1" hidden="1" outlineLevel="1" x14ac:dyDescent="0.3">
      <c r="A61" s="50"/>
      <c r="B61" s="12" t="str">
        <f>CONCATENATE("          ", "4341", " - ", "SALES RETURN NON TAXABLE-LOGO")</f>
        <v xml:space="preserve">          4341 - SALES RETURN NON TAXABLE-LOGO</v>
      </c>
      <c r="C61" s="12"/>
      <c r="D61" s="3">
        <f t="shared" si="10"/>
        <v>0</v>
      </c>
      <c r="E61" s="3"/>
      <c r="F61" s="22"/>
      <c r="G61" s="3"/>
      <c r="H61" s="3">
        <f>-16.95</f>
        <v>-16.95</v>
      </c>
      <c r="I61" s="3"/>
      <c r="J61" s="22"/>
      <c r="K61" s="3"/>
      <c r="L61" s="3">
        <f t="shared" si="0"/>
        <v>16.95</v>
      </c>
      <c r="M61" s="3"/>
      <c r="N61" s="22">
        <f t="shared" si="1"/>
        <v>-1</v>
      </c>
      <c r="O61" s="12"/>
      <c r="P61" s="3">
        <f t="shared" si="11"/>
        <v>0</v>
      </c>
      <c r="Q61" s="3"/>
      <c r="R61" s="22"/>
      <c r="S61" s="3"/>
      <c r="T61" s="3">
        <f>-16.95</f>
        <v>-16.95</v>
      </c>
      <c r="U61" s="3"/>
      <c r="V61" s="22"/>
      <c r="W61" s="3"/>
      <c r="X61" s="3">
        <f t="shared" si="2"/>
        <v>16.95</v>
      </c>
      <c r="Y61" s="3"/>
      <c r="Z61" s="22">
        <f t="shared" si="3"/>
        <v>-1</v>
      </c>
    </row>
    <row r="62" spans="1:26" s="24" customFormat="1" hidden="1" outlineLevel="1" x14ac:dyDescent="0.3">
      <c r="A62" s="50"/>
      <c r="B62" s="12" t="str">
        <f>CONCATENATE("          ", "4342", " - ", "SALES RETURN NON TAXABLE-EVERY")</f>
        <v xml:space="preserve">          4342 - SALES RETURN NON TAXABLE-EVERY</v>
      </c>
      <c r="C62" s="12"/>
      <c r="D62" s="3">
        <f t="shared" si="10"/>
        <v>0</v>
      </c>
      <c r="E62" s="3"/>
      <c r="F62" s="22"/>
      <c r="G62" s="3"/>
      <c r="H62" s="3">
        <f>-79.85</f>
        <v>-79.849999999999994</v>
      </c>
      <c r="I62" s="3"/>
      <c r="J62" s="22"/>
      <c r="K62" s="3"/>
      <c r="L62" s="3">
        <f t="shared" si="0"/>
        <v>79.849999999999994</v>
      </c>
      <c r="M62" s="3"/>
      <c r="N62" s="22">
        <f t="shared" si="1"/>
        <v>-1</v>
      </c>
      <c r="O62" s="12"/>
      <c r="P62" s="3">
        <f t="shared" si="11"/>
        <v>0</v>
      </c>
      <c r="Q62" s="3"/>
      <c r="R62" s="22"/>
      <c r="S62" s="3"/>
      <c r="T62" s="3">
        <f>-79.85</f>
        <v>-79.849999999999994</v>
      </c>
      <c r="U62" s="3"/>
      <c r="V62" s="22"/>
      <c r="W62" s="3"/>
      <c r="X62" s="3">
        <f t="shared" si="2"/>
        <v>79.849999999999994</v>
      </c>
      <c r="Y62" s="3"/>
      <c r="Z62" s="22">
        <f t="shared" si="3"/>
        <v>-1</v>
      </c>
    </row>
    <row r="63" spans="1:26" x14ac:dyDescent="0.3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collapsed="1" x14ac:dyDescent="0.3">
      <c r="A64" s="10"/>
      <c r="B64" s="25" t="s">
        <v>256</v>
      </c>
      <c r="C64" s="10"/>
      <c r="D64" s="4">
        <f>SUM(OSRRefD16x_0)</f>
        <v>127421.44</v>
      </c>
      <c r="E64" s="4"/>
      <c r="F64" s="11">
        <f t="shared" ref="F64:F93" si="12">IF(D$12=0,0,D64/D$12)</f>
        <v>0.57787967630759096</v>
      </c>
      <c r="G64" s="4"/>
      <c r="H64" s="4">
        <f>SUM(OSRRefH16x_0)</f>
        <v>141168.40000000002</v>
      </c>
      <c r="I64" s="4"/>
      <c r="J64" s="11">
        <f t="shared" ref="J64:J93" si="13">IF(H$12=0,0,H64/H$12)</f>
        <v>0.62006458987843027</v>
      </c>
      <c r="K64" s="4"/>
      <c r="L64" s="4">
        <f t="shared" ref="L64:L93" si="14">+D64-H64</f>
        <v>-13746.960000000021</v>
      </c>
      <c r="M64" s="4"/>
      <c r="N64" s="11">
        <f t="shared" ref="N64:N93" si="15">IF(H64=0,0,L64/H64)</f>
        <v>-9.737986688239024E-2</v>
      </c>
      <c r="O64" s="10"/>
      <c r="P64" s="4">
        <f>SUM(OSRRefP16x_0)</f>
        <v>127421.44</v>
      </c>
      <c r="Q64" s="4"/>
      <c r="R64" s="11">
        <f t="shared" ref="R64:R93" si="16">IF(P$12=0,0,P64/P$12)</f>
        <v>0.57787967630759096</v>
      </c>
      <c r="S64" s="4"/>
      <c r="T64" s="4">
        <f>SUM(OSRRefT16x_0)</f>
        <v>141168.40000000002</v>
      </c>
      <c r="U64" s="4"/>
      <c r="V64" s="11">
        <f t="shared" ref="V64:V93" si="17">IF(T$12=0,0,T64/T$12)</f>
        <v>0.62006458987843027</v>
      </c>
      <c r="W64" s="4"/>
      <c r="X64" s="4">
        <f t="shared" ref="X64:X93" si="18">+P64-T64</f>
        <v>-13746.960000000021</v>
      </c>
      <c r="Y64" s="4"/>
      <c r="Z64" s="11">
        <f t="shared" ref="Z64:Z93" si="19">IF(T64=0,0,X64/T64)</f>
        <v>-9.737986688239024E-2</v>
      </c>
    </row>
    <row r="65" spans="1:26" s="24" customFormat="1" hidden="1" outlineLevel="1" x14ac:dyDescent="0.3">
      <c r="A65" s="50"/>
      <c r="B65" s="12" t="str">
        <f>CONCATENATE("          ", "5000", " - ", "PURCHASES @ COST")</f>
        <v xml:space="preserve">          5000 - PURCHASES @ COST</v>
      </c>
      <c r="C65" s="12"/>
      <c r="D65" s="3">
        <v>344773.67</v>
      </c>
      <c r="E65" s="3"/>
      <c r="F65" s="22">
        <f t="shared" si="12"/>
        <v>1.5636120327864775</v>
      </c>
      <c r="G65" s="3"/>
      <c r="H65" s="3"/>
      <c r="I65" s="3"/>
      <c r="J65" s="22">
        <f t="shared" si="13"/>
        <v>0</v>
      </c>
      <c r="K65" s="3"/>
      <c r="L65" s="3">
        <f t="shared" si="14"/>
        <v>344773.67</v>
      </c>
      <c r="M65" s="3"/>
      <c r="N65" s="22">
        <f t="shared" si="15"/>
        <v>0</v>
      </c>
      <c r="O65" s="12"/>
      <c r="P65" s="3">
        <v>344773.67</v>
      </c>
      <c r="Q65" s="3"/>
      <c r="R65" s="22">
        <f t="shared" si="16"/>
        <v>1.5636120327864775</v>
      </c>
      <c r="S65" s="3"/>
      <c r="T65" s="3"/>
      <c r="U65" s="3"/>
      <c r="V65" s="22">
        <f t="shared" si="17"/>
        <v>0</v>
      </c>
      <c r="W65" s="3"/>
      <c r="X65" s="3">
        <f t="shared" si="18"/>
        <v>344773.67</v>
      </c>
      <c r="Y65" s="3"/>
      <c r="Z65" s="22">
        <f t="shared" si="19"/>
        <v>0</v>
      </c>
    </row>
    <row r="66" spans="1:26" s="24" customFormat="1" hidden="1" outlineLevel="1" x14ac:dyDescent="0.3">
      <c r="A66" s="50"/>
      <c r="B66" s="12" t="str">
        <f>CONCATENATE("          ", "5001", " - ", "PURCHASES @ COST-NEW TEXT")</f>
        <v xml:space="preserve">          5001 - PURCHASES @ COST-NEW TEXT</v>
      </c>
      <c r="C66" s="12"/>
      <c r="D66" s="3">
        <v>0</v>
      </c>
      <c r="E66" s="3"/>
      <c r="F66" s="22">
        <f t="shared" si="12"/>
        <v>0</v>
      </c>
      <c r="G66" s="3"/>
      <c r="H66" s="3">
        <v>153110.63</v>
      </c>
      <c r="I66" s="3"/>
      <c r="J66" s="22">
        <f t="shared" si="13"/>
        <v>0.67251934566785532</v>
      </c>
      <c r="K66" s="3"/>
      <c r="L66" s="3">
        <f t="shared" si="14"/>
        <v>-153110.63</v>
      </c>
      <c r="M66" s="3"/>
      <c r="N66" s="22">
        <f t="shared" si="15"/>
        <v>-1</v>
      </c>
      <c r="O66" s="12"/>
      <c r="P66" s="3">
        <v>0</v>
      </c>
      <c r="Q66" s="3"/>
      <c r="R66" s="22">
        <f t="shared" si="16"/>
        <v>0</v>
      </c>
      <c r="S66" s="3"/>
      <c r="T66" s="3">
        <v>153110.63</v>
      </c>
      <c r="U66" s="3"/>
      <c r="V66" s="22">
        <f t="shared" si="17"/>
        <v>0.67251934566785532</v>
      </c>
      <c r="W66" s="3"/>
      <c r="X66" s="3">
        <f t="shared" si="18"/>
        <v>-153110.63</v>
      </c>
      <c r="Y66" s="3"/>
      <c r="Z66" s="22">
        <f t="shared" si="19"/>
        <v>-1</v>
      </c>
    </row>
    <row r="67" spans="1:26" s="24" customFormat="1" hidden="1" outlineLevel="1" x14ac:dyDescent="0.3">
      <c r="A67" s="50"/>
      <c r="B67" s="12" t="str">
        <f>CONCATENATE("          ", "5002", " - ", "PURCHASES @ COST-USED TEXT")</f>
        <v xml:space="preserve">          5002 - PURCHASES @ COST-USED TEXT</v>
      </c>
      <c r="C67" s="12"/>
      <c r="D67" s="3">
        <v>0</v>
      </c>
      <c r="E67" s="3"/>
      <c r="F67" s="22">
        <f t="shared" si="12"/>
        <v>0</v>
      </c>
      <c r="G67" s="3"/>
      <c r="H67" s="3">
        <v>60324.85</v>
      </c>
      <c r="I67" s="3"/>
      <c r="J67" s="22">
        <f t="shared" si="13"/>
        <v>0.26496937965385892</v>
      </c>
      <c r="K67" s="3"/>
      <c r="L67" s="3">
        <f t="shared" si="14"/>
        <v>-60324.85</v>
      </c>
      <c r="M67" s="3"/>
      <c r="N67" s="22">
        <f t="shared" si="15"/>
        <v>-1</v>
      </c>
      <c r="O67" s="12"/>
      <c r="P67" s="3">
        <v>0</v>
      </c>
      <c r="Q67" s="3"/>
      <c r="R67" s="22">
        <f t="shared" si="16"/>
        <v>0</v>
      </c>
      <c r="S67" s="3"/>
      <c r="T67" s="3">
        <v>60324.85</v>
      </c>
      <c r="U67" s="3"/>
      <c r="V67" s="22">
        <f t="shared" si="17"/>
        <v>0.26496937965385892</v>
      </c>
      <c r="W67" s="3"/>
      <c r="X67" s="3">
        <f t="shared" si="18"/>
        <v>-60324.85</v>
      </c>
      <c r="Y67" s="3"/>
      <c r="Z67" s="22">
        <f t="shared" si="19"/>
        <v>-1</v>
      </c>
    </row>
    <row r="68" spans="1:26" s="24" customFormat="1" hidden="1" outlineLevel="1" x14ac:dyDescent="0.3">
      <c r="A68" s="50"/>
      <c r="B68" s="12" t="str">
        <f>CONCATENATE("          ", "5003", " - ", "PURCHASES @ COST-RENTAL TEXT")</f>
        <v xml:space="preserve">          5003 - PURCHASES @ COST-RENTAL TEXT</v>
      </c>
      <c r="C68" s="12"/>
      <c r="D68" s="3"/>
      <c r="E68" s="3"/>
      <c r="F68" s="22">
        <f t="shared" si="12"/>
        <v>0</v>
      </c>
      <c r="G68" s="3"/>
      <c r="H68" s="3">
        <v>-11926.64</v>
      </c>
      <c r="I68" s="3"/>
      <c r="J68" s="22">
        <f t="shared" si="13"/>
        <v>-5.2386278658876066E-2</v>
      </c>
      <c r="K68" s="3"/>
      <c r="L68" s="3">
        <f t="shared" si="14"/>
        <v>11926.64</v>
      </c>
      <c r="M68" s="3"/>
      <c r="N68" s="22">
        <f t="shared" si="15"/>
        <v>-1</v>
      </c>
      <c r="O68" s="12"/>
      <c r="P68" s="3"/>
      <c r="Q68" s="3"/>
      <c r="R68" s="22">
        <f t="shared" si="16"/>
        <v>0</v>
      </c>
      <c r="S68" s="3"/>
      <c r="T68" s="3">
        <v>-11926.64</v>
      </c>
      <c r="U68" s="3"/>
      <c r="V68" s="22">
        <f t="shared" si="17"/>
        <v>-5.2386278658876066E-2</v>
      </c>
      <c r="W68" s="3"/>
      <c r="X68" s="3">
        <f t="shared" si="18"/>
        <v>11926.64</v>
      </c>
      <c r="Y68" s="3"/>
      <c r="Z68" s="22">
        <f t="shared" si="19"/>
        <v>-1</v>
      </c>
    </row>
    <row r="69" spans="1:26" s="24" customFormat="1" hidden="1" outlineLevel="1" x14ac:dyDescent="0.3">
      <c r="A69" s="50"/>
      <c r="B69" s="12" t="str">
        <f>CONCATENATE("          ", "5004", " - ", "PURCHASES @ COST-DIGITAL TEXT")</f>
        <v xml:space="preserve">          5004 - PURCHASES @ COST-DIGITAL TEXT</v>
      </c>
      <c r="C69" s="12"/>
      <c r="D69" s="3">
        <v>0</v>
      </c>
      <c r="E69" s="3"/>
      <c r="F69" s="22">
        <f t="shared" si="12"/>
        <v>0</v>
      </c>
      <c r="G69" s="3"/>
      <c r="H69" s="3">
        <v>4925.4799999999996</v>
      </c>
      <c r="I69" s="3"/>
      <c r="J69" s="22">
        <f t="shared" si="13"/>
        <v>2.163455657324451E-2</v>
      </c>
      <c r="K69" s="3"/>
      <c r="L69" s="3">
        <f t="shared" si="14"/>
        <v>-4925.4799999999996</v>
      </c>
      <c r="M69" s="3"/>
      <c r="N69" s="22">
        <f t="shared" si="15"/>
        <v>-1</v>
      </c>
      <c r="O69" s="12"/>
      <c r="P69" s="3">
        <v>0</v>
      </c>
      <c r="Q69" s="3"/>
      <c r="R69" s="22">
        <f t="shared" si="16"/>
        <v>0</v>
      </c>
      <c r="S69" s="3"/>
      <c r="T69" s="3">
        <v>4925.4799999999996</v>
      </c>
      <c r="U69" s="3"/>
      <c r="V69" s="22">
        <f t="shared" si="17"/>
        <v>2.163455657324451E-2</v>
      </c>
      <c r="W69" s="3"/>
      <c r="X69" s="3">
        <f t="shared" si="18"/>
        <v>-4925.4799999999996</v>
      </c>
      <c r="Y69" s="3"/>
      <c r="Z69" s="22">
        <f t="shared" si="19"/>
        <v>-1</v>
      </c>
    </row>
    <row r="70" spans="1:26" s="24" customFormat="1" hidden="1" outlineLevel="1" x14ac:dyDescent="0.3">
      <c r="A70" s="50"/>
      <c r="B70" s="12" t="str">
        <f>CONCATENATE("          ", "5013", " - ", "PURCHASES @ COST-TRADE BOOKS")</f>
        <v xml:space="preserve">          5013 - PURCHASES @ COST-TRADE BOOKS</v>
      </c>
      <c r="C70" s="12"/>
      <c r="D70" s="3"/>
      <c r="E70" s="3"/>
      <c r="F70" s="22">
        <f t="shared" si="12"/>
        <v>0</v>
      </c>
      <c r="G70" s="3"/>
      <c r="H70" s="3">
        <v>108.54</v>
      </c>
      <c r="I70" s="3"/>
      <c r="J70" s="22">
        <f t="shared" si="13"/>
        <v>4.7674841243086142E-4</v>
      </c>
      <c r="K70" s="3"/>
      <c r="L70" s="3">
        <f t="shared" si="14"/>
        <v>-108.54</v>
      </c>
      <c r="M70" s="3"/>
      <c r="N70" s="22">
        <f t="shared" si="15"/>
        <v>-1</v>
      </c>
      <c r="O70" s="12"/>
      <c r="P70" s="3"/>
      <c r="Q70" s="3"/>
      <c r="R70" s="22">
        <f t="shared" si="16"/>
        <v>0</v>
      </c>
      <c r="S70" s="3"/>
      <c r="T70" s="3">
        <v>108.54</v>
      </c>
      <c r="U70" s="3"/>
      <c r="V70" s="22">
        <f t="shared" si="17"/>
        <v>4.7674841243086142E-4</v>
      </c>
      <c r="W70" s="3"/>
      <c r="X70" s="3">
        <f t="shared" si="18"/>
        <v>-108.54</v>
      </c>
      <c r="Y70" s="3"/>
      <c r="Z70" s="22">
        <f t="shared" si="19"/>
        <v>-1</v>
      </c>
    </row>
    <row r="71" spans="1:26" s="24" customFormat="1" hidden="1" outlineLevel="1" x14ac:dyDescent="0.3">
      <c r="A71" s="50"/>
      <c r="B71" s="12" t="str">
        <f>CONCATENATE("          ", "5014", " - ", "PURCHASES @ COST-REMAINDERS")</f>
        <v xml:space="preserve">          5014 - PURCHASES @ COST-REMAINDERS</v>
      </c>
      <c r="C71" s="12"/>
      <c r="D71" s="3"/>
      <c r="E71" s="3"/>
      <c r="F71" s="22">
        <f t="shared" si="12"/>
        <v>0</v>
      </c>
      <c r="G71" s="3"/>
      <c r="H71" s="3">
        <v>-12.51</v>
      </c>
      <c r="I71" s="3"/>
      <c r="J71" s="22">
        <f t="shared" si="13"/>
        <v>-5.494861469974273E-5</v>
      </c>
      <c r="K71" s="3"/>
      <c r="L71" s="3">
        <f t="shared" si="14"/>
        <v>12.51</v>
      </c>
      <c r="M71" s="3"/>
      <c r="N71" s="22">
        <f t="shared" si="15"/>
        <v>-1</v>
      </c>
      <c r="O71" s="12"/>
      <c r="P71" s="3"/>
      <c r="Q71" s="3"/>
      <c r="R71" s="22">
        <f t="shared" si="16"/>
        <v>0</v>
      </c>
      <c r="S71" s="3"/>
      <c r="T71" s="3">
        <v>-12.51</v>
      </c>
      <c r="U71" s="3"/>
      <c r="V71" s="22">
        <f t="shared" si="17"/>
        <v>-5.494861469974273E-5</v>
      </c>
      <c r="W71" s="3"/>
      <c r="X71" s="3">
        <f t="shared" si="18"/>
        <v>12.51</v>
      </c>
      <c r="Y71" s="3"/>
      <c r="Z71" s="22">
        <f t="shared" si="19"/>
        <v>-1</v>
      </c>
    </row>
    <row r="72" spans="1:26" s="24" customFormat="1" hidden="1" outlineLevel="1" x14ac:dyDescent="0.3">
      <c r="A72" s="50"/>
      <c r="B72" s="12" t="str">
        <f>CONCATENATE("          ", "5027", " - ", "PURCHASES @ COST-SCHOOL SUPPLI")</f>
        <v xml:space="preserve">          5027 - PURCHASES @ COST-SCHOOL SUPPLI</v>
      </c>
      <c r="C72" s="12"/>
      <c r="D72" s="3"/>
      <c r="E72" s="3"/>
      <c r="F72" s="22">
        <f t="shared" si="12"/>
        <v>0</v>
      </c>
      <c r="G72" s="3"/>
      <c r="H72" s="3">
        <v>8503.4</v>
      </c>
      <c r="I72" s="3"/>
      <c r="J72" s="22">
        <f t="shared" si="13"/>
        <v>3.7350123919887478E-2</v>
      </c>
      <c r="K72" s="3"/>
      <c r="L72" s="3">
        <f t="shared" si="14"/>
        <v>-8503.4</v>
      </c>
      <c r="M72" s="3"/>
      <c r="N72" s="22">
        <f t="shared" si="15"/>
        <v>-1</v>
      </c>
      <c r="O72" s="12"/>
      <c r="P72" s="3"/>
      <c r="Q72" s="3"/>
      <c r="R72" s="22">
        <f t="shared" si="16"/>
        <v>0</v>
      </c>
      <c r="S72" s="3"/>
      <c r="T72" s="3">
        <v>8503.4</v>
      </c>
      <c r="U72" s="3"/>
      <c r="V72" s="22">
        <f t="shared" si="17"/>
        <v>3.7350123919887478E-2</v>
      </c>
      <c r="W72" s="3"/>
      <c r="X72" s="3">
        <f t="shared" si="18"/>
        <v>-8503.4</v>
      </c>
      <c r="Y72" s="3"/>
      <c r="Z72" s="22">
        <f t="shared" si="19"/>
        <v>-1</v>
      </c>
    </row>
    <row r="73" spans="1:26" s="24" customFormat="1" hidden="1" outlineLevel="1" x14ac:dyDescent="0.3">
      <c r="A73" s="50"/>
      <c r="B73" s="12" t="str">
        <f>CONCATENATE("          ", "5040", " - ", "PURCHASES @ COST-LOGO CLOTHING")</f>
        <v xml:space="preserve">          5040 - PURCHASES @ COST-LOGO CLOTHING</v>
      </c>
      <c r="C73" s="12"/>
      <c r="D73" s="3">
        <v>0</v>
      </c>
      <c r="E73" s="3"/>
      <c r="F73" s="22">
        <f t="shared" si="12"/>
        <v>0</v>
      </c>
      <c r="G73" s="3"/>
      <c r="H73" s="3">
        <v>1723.07</v>
      </c>
      <c r="I73" s="3"/>
      <c r="J73" s="22">
        <f t="shared" si="13"/>
        <v>7.5683700664017353E-3</v>
      </c>
      <c r="K73" s="3"/>
      <c r="L73" s="3">
        <f t="shared" si="14"/>
        <v>-1723.07</v>
      </c>
      <c r="M73" s="3"/>
      <c r="N73" s="22">
        <f t="shared" si="15"/>
        <v>-1</v>
      </c>
      <c r="O73" s="12"/>
      <c r="P73" s="3">
        <v>0</v>
      </c>
      <c r="Q73" s="3"/>
      <c r="R73" s="22">
        <f t="shared" si="16"/>
        <v>0</v>
      </c>
      <c r="S73" s="3"/>
      <c r="T73" s="3">
        <v>1723.07</v>
      </c>
      <c r="U73" s="3"/>
      <c r="V73" s="22">
        <f t="shared" si="17"/>
        <v>7.5683700664017353E-3</v>
      </c>
      <c r="W73" s="3"/>
      <c r="X73" s="3">
        <f t="shared" si="18"/>
        <v>-1723.07</v>
      </c>
      <c r="Y73" s="3"/>
      <c r="Z73" s="22">
        <f t="shared" si="19"/>
        <v>-1</v>
      </c>
    </row>
    <row r="74" spans="1:26" s="24" customFormat="1" hidden="1" outlineLevel="1" x14ac:dyDescent="0.3">
      <c r="A74" s="50"/>
      <c r="B74" s="12" t="str">
        <f>CONCATENATE("          ", "5041", " - ", "PURCHASES @ COST-LOGO GIFTS")</f>
        <v xml:space="preserve">          5041 - PURCHASES @ COST-LOGO GIFTS</v>
      </c>
      <c r="C74" s="12"/>
      <c r="D74" s="3">
        <v>0</v>
      </c>
      <c r="E74" s="3"/>
      <c r="F74" s="22">
        <f t="shared" si="12"/>
        <v>0</v>
      </c>
      <c r="G74" s="3"/>
      <c r="H74" s="3">
        <v>-713.75</v>
      </c>
      <c r="I74" s="3"/>
      <c r="J74" s="22">
        <f t="shared" si="13"/>
        <v>-3.1350578530728516E-3</v>
      </c>
      <c r="K74" s="3"/>
      <c r="L74" s="3">
        <f t="shared" si="14"/>
        <v>713.75</v>
      </c>
      <c r="M74" s="3"/>
      <c r="N74" s="22">
        <f t="shared" si="15"/>
        <v>-1</v>
      </c>
      <c r="O74" s="12"/>
      <c r="P74" s="3">
        <v>0</v>
      </c>
      <c r="Q74" s="3"/>
      <c r="R74" s="22">
        <f t="shared" si="16"/>
        <v>0</v>
      </c>
      <c r="S74" s="3"/>
      <c r="T74" s="3">
        <v>-713.75</v>
      </c>
      <c r="U74" s="3"/>
      <c r="V74" s="22">
        <f t="shared" si="17"/>
        <v>-3.1350578530728516E-3</v>
      </c>
      <c r="W74" s="3"/>
      <c r="X74" s="3">
        <f t="shared" si="18"/>
        <v>713.75</v>
      </c>
      <c r="Y74" s="3"/>
      <c r="Z74" s="22">
        <f t="shared" si="19"/>
        <v>-1</v>
      </c>
    </row>
    <row r="75" spans="1:26" s="24" customFormat="1" hidden="1" outlineLevel="1" x14ac:dyDescent="0.3">
      <c r="A75" s="50"/>
      <c r="B75" s="12" t="str">
        <f>CONCATENATE("          ", "5042", " - ", "PURCHASES @ COST-EVERYDAY GIFT")</f>
        <v xml:space="preserve">          5042 - PURCHASES @ COST-EVERYDAY GIFT</v>
      </c>
      <c r="C75" s="12"/>
      <c r="D75" s="3">
        <v>0</v>
      </c>
      <c r="E75" s="3"/>
      <c r="F75" s="22">
        <f t="shared" si="12"/>
        <v>0</v>
      </c>
      <c r="G75" s="3"/>
      <c r="H75" s="3">
        <v>236.16</v>
      </c>
      <c r="I75" s="3"/>
      <c r="J75" s="22">
        <f t="shared" si="13"/>
        <v>1.0373033451232009E-3</v>
      </c>
      <c r="K75" s="3"/>
      <c r="L75" s="3">
        <f t="shared" si="14"/>
        <v>-236.16</v>
      </c>
      <c r="M75" s="3"/>
      <c r="N75" s="22">
        <f t="shared" si="15"/>
        <v>-1</v>
      </c>
      <c r="O75" s="12"/>
      <c r="P75" s="3">
        <v>0</v>
      </c>
      <c r="Q75" s="3"/>
      <c r="R75" s="22">
        <f t="shared" si="16"/>
        <v>0</v>
      </c>
      <c r="S75" s="3"/>
      <c r="T75" s="3">
        <v>236.16</v>
      </c>
      <c r="U75" s="3"/>
      <c r="V75" s="22">
        <f t="shared" si="17"/>
        <v>1.0373033451232009E-3</v>
      </c>
      <c r="W75" s="3"/>
      <c r="X75" s="3">
        <f t="shared" si="18"/>
        <v>-236.16</v>
      </c>
      <c r="Y75" s="3"/>
      <c r="Z75" s="22">
        <f t="shared" si="19"/>
        <v>-1</v>
      </c>
    </row>
    <row r="76" spans="1:26" s="24" customFormat="1" hidden="1" outlineLevel="1" x14ac:dyDescent="0.3">
      <c r="A76" s="50"/>
      <c r="B76" s="12" t="str">
        <f>CONCATENATE("          ", "5043", " - ", "PURCHASES @ COST-CARDS")</f>
        <v xml:space="preserve">          5043 - PURCHASES @ COST-CARDS</v>
      </c>
      <c r="C76" s="12"/>
      <c r="D76" s="3">
        <v>0</v>
      </c>
      <c r="E76" s="3"/>
      <c r="F76" s="22">
        <f t="shared" si="12"/>
        <v>0</v>
      </c>
      <c r="G76" s="3"/>
      <c r="H76" s="3">
        <v>308.7</v>
      </c>
      <c r="I76" s="3"/>
      <c r="J76" s="22">
        <f t="shared" si="13"/>
        <v>1.355926247626745E-3</v>
      </c>
      <c r="K76" s="3"/>
      <c r="L76" s="3">
        <f t="shared" si="14"/>
        <v>-308.7</v>
      </c>
      <c r="M76" s="3"/>
      <c r="N76" s="22">
        <f t="shared" si="15"/>
        <v>-1</v>
      </c>
      <c r="O76" s="12"/>
      <c r="P76" s="3">
        <v>0</v>
      </c>
      <c r="Q76" s="3"/>
      <c r="R76" s="22">
        <f t="shared" si="16"/>
        <v>0</v>
      </c>
      <c r="S76" s="3"/>
      <c r="T76" s="3">
        <v>308.7</v>
      </c>
      <c r="U76" s="3"/>
      <c r="V76" s="22">
        <f t="shared" si="17"/>
        <v>1.355926247626745E-3</v>
      </c>
      <c r="W76" s="3"/>
      <c r="X76" s="3">
        <f t="shared" si="18"/>
        <v>-308.7</v>
      </c>
      <c r="Y76" s="3"/>
      <c r="Z76" s="22">
        <f t="shared" si="19"/>
        <v>-1</v>
      </c>
    </row>
    <row r="77" spans="1:26" s="24" customFormat="1" hidden="1" outlineLevel="1" x14ac:dyDescent="0.3">
      <c r="A77" s="50"/>
      <c r="B77" s="12" t="str">
        <f>CONCATENATE("          ", "5044", " - ", "PURCHASES @ COST-ACCESSORIES")</f>
        <v xml:space="preserve">          5044 - PURCHASES @ COST-ACCESSORIES</v>
      </c>
      <c r="C77" s="12"/>
      <c r="D77" s="3">
        <v>0</v>
      </c>
      <c r="E77" s="3"/>
      <c r="F77" s="22">
        <f t="shared" si="12"/>
        <v>0</v>
      </c>
      <c r="G77" s="3"/>
      <c r="H77" s="3"/>
      <c r="I77" s="3"/>
      <c r="J77" s="22">
        <f t="shared" si="13"/>
        <v>0</v>
      </c>
      <c r="K77" s="3"/>
      <c r="L77" s="3">
        <f t="shared" si="14"/>
        <v>0</v>
      </c>
      <c r="M77" s="3"/>
      <c r="N77" s="22">
        <f t="shared" si="15"/>
        <v>0</v>
      </c>
      <c r="O77" s="12"/>
      <c r="P77" s="3">
        <v>0</v>
      </c>
      <c r="Q77" s="3"/>
      <c r="R77" s="22">
        <f t="shared" si="16"/>
        <v>0</v>
      </c>
      <c r="S77" s="3"/>
      <c r="T77" s="3"/>
      <c r="U77" s="3"/>
      <c r="V77" s="22">
        <f t="shared" si="17"/>
        <v>0</v>
      </c>
      <c r="W77" s="3"/>
      <c r="X77" s="3">
        <f t="shared" si="18"/>
        <v>0</v>
      </c>
      <c r="Y77" s="3"/>
      <c r="Z77" s="22">
        <f t="shared" si="19"/>
        <v>0</v>
      </c>
    </row>
    <row r="78" spans="1:26" s="24" customFormat="1" hidden="1" outlineLevel="1" x14ac:dyDescent="0.3">
      <c r="A78" s="50"/>
      <c r="B78" s="12" t="str">
        <f>CONCATENATE("          ", "5045", " - ", "PURCHASES @ COST-SPECIAL ORDER")</f>
        <v xml:space="preserve">          5045 - PURCHASES @ COST-SPECIAL ORDER</v>
      </c>
      <c r="C78" s="12"/>
      <c r="D78" s="3">
        <v>0</v>
      </c>
      <c r="E78" s="3"/>
      <c r="F78" s="22">
        <f t="shared" si="12"/>
        <v>0</v>
      </c>
      <c r="G78" s="3"/>
      <c r="H78" s="3">
        <v>2756.21</v>
      </c>
      <c r="I78" s="3"/>
      <c r="J78" s="22">
        <f t="shared" si="13"/>
        <v>1.2106308658799194E-2</v>
      </c>
      <c r="K78" s="3"/>
      <c r="L78" s="3">
        <f t="shared" si="14"/>
        <v>-2756.21</v>
      </c>
      <c r="M78" s="3"/>
      <c r="N78" s="22">
        <f t="shared" si="15"/>
        <v>-1</v>
      </c>
      <c r="O78" s="12"/>
      <c r="P78" s="3">
        <v>0</v>
      </c>
      <c r="Q78" s="3"/>
      <c r="R78" s="22">
        <f t="shared" si="16"/>
        <v>0</v>
      </c>
      <c r="S78" s="3"/>
      <c r="T78" s="3">
        <v>2756.21</v>
      </c>
      <c r="U78" s="3"/>
      <c r="V78" s="22">
        <f t="shared" si="17"/>
        <v>1.2106308658799194E-2</v>
      </c>
      <c r="W78" s="3"/>
      <c r="X78" s="3">
        <f t="shared" si="18"/>
        <v>-2756.21</v>
      </c>
      <c r="Y78" s="3"/>
      <c r="Z78" s="22">
        <f t="shared" si="19"/>
        <v>-1</v>
      </c>
    </row>
    <row r="79" spans="1:26" s="24" customFormat="1" hidden="1" outlineLevel="1" x14ac:dyDescent="0.3">
      <c r="A79" s="50"/>
      <c r="B79" s="12" t="str">
        <f>CONCATENATE("          ", "5053", " - ", "PURCHASES @ COST-FOOD")</f>
        <v xml:space="preserve">          5053 - PURCHASES @ COST-FOOD</v>
      </c>
      <c r="C79" s="12"/>
      <c r="D79" s="3">
        <v>0</v>
      </c>
      <c r="E79" s="3"/>
      <c r="F79" s="22">
        <f t="shared" si="12"/>
        <v>0</v>
      </c>
      <c r="G79" s="3"/>
      <c r="H79" s="3">
        <v>-226.87</v>
      </c>
      <c r="I79" s="3"/>
      <c r="J79" s="22">
        <f t="shared" si="13"/>
        <v>-9.9649817881140162E-4</v>
      </c>
      <c r="K79" s="3"/>
      <c r="L79" s="3">
        <f t="shared" si="14"/>
        <v>226.87</v>
      </c>
      <c r="M79" s="3"/>
      <c r="N79" s="22">
        <f t="shared" si="15"/>
        <v>-1</v>
      </c>
      <c r="O79" s="12"/>
      <c r="P79" s="3">
        <v>0</v>
      </c>
      <c r="Q79" s="3"/>
      <c r="R79" s="22">
        <f t="shared" si="16"/>
        <v>0</v>
      </c>
      <c r="S79" s="3"/>
      <c r="T79" s="3">
        <v>-226.87</v>
      </c>
      <c r="U79" s="3"/>
      <c r="V79" s="22">
        <f t="shared" si="17"/>
        <v>-9.9649817881140162E-4</v>
      </c>
      <c r="W79" s="3"/>
      <c r="X79" s="3">
        <f t="shared" si="18"/>
        <v>226.87</v>
      </c>
      <c r="Y79" s="3"/>
      <c r="Z79" s="22">
        <f t="shared" si="19"/>
        <v>-1</v>
      </c>
    </row>
    <row r="80" spans="1:26" s="24" customFormat="1" hidden="1" outlineLevel="1" x14ac:dyDescent="0.3">
      <c r="A80" s="50"/>
      <c r="B80" s="12" t="str">
        <f>CONCATENATE("          ", "5092", " - ", "PURCHASES @ COST-GRAD MERCH")</f>
        <v xml:space="preserve">          5092 - PURCHASES @ COST-GRAD MERCH</v>
      </c>
      <c r="C80" s="12"/>
      <c r="D80" s="3"/>
      <c r="E80" s="3"/>
      <c r="F80" s="22">
        <f t="shared" si="12"/>
        <v>0</v>
      </c>
      <c r="G80" s="3"/>
      <c r="H80" s="3">
        <v>0</v>
      </c>
      <c r="I80" s="3"/>
      <c r="J80" s="22">
        <f t="shared" si="13"/>
        <v>0</v>
      </c>
      <c r="K80" s="3"/>
      <c r="L80" s="3">
        <f t="shared" si="14"/>
        <v>0</v>
      </c>
      <c r="M80" s="3"/>
      <c r="N80" s="22">
        <f t="shared" si="15"/>
        <v>0</v>
      </c>
      <c r="O80" s="12"/>
      <c r="P80" s="3"/>
      <c r="Q80" s="3"/>
      <c r="R80" s="22">
        <f t="shared" si="16"/>
        <v>0</v>
      </c>
      <c r="S80" s="3"/>
      <c r="T80" s="3">
        <v>0</v>
      </c>
      <c r="U80" s="3"/>
      <c r="V80" s="22">
        <f t="shared" si="17"/>
        <v>0</v>
      </c>
      <c r="W80" s="3"/>
      <c r="X80" s="3">
        <f t="shared" si="18"/>
        <v>0</v>
      </c>
      <c r="Y80" s="3"/>
      <c r="Z80" s="22">
        <f t="shared" si="19"/>
        <v>0</v>
      </c>
    </row>
    <row r="81" spans="1:26" s="24" customFormat="1" hidden="1" outlineLevel="1" x14ac:dyDescent="0.3">
      <c r="A81" s="50"/>
      <c r="B81" s="12" t="str">
        <f>CONCATENATE("          ", "5200", " - ", "PURCHASES OFFSET")</f>
        <v xml:space="preserve">          5200 - PURCHASES OFFSET</v>
      </c>
      <c r="C81" s="12"/>
      <c r="D81" s="3">
        <v>-346348.67</v>
      </c>
      <c r="E81" s="3"/>
      <c r="F81" s="22">
        <f t="shared" si="12"/>
        <v>-1.5707549475909599</v>
      </c>
      <c r="G81" s="3"/>
      <c r="H81" s="3">
        <v>-215765.28</v>
      </c>
      <c r="I81" s="3"/>
      <c r="J81" s="22">
        <f t="shared" si="13"/>
        <v>-0.94772208123917712</v>
      </c>
      <c r="K81" s="3"/>
      <c r="L81" s="3">
        <f t="shared" si="14"/>
        <v>-130583.38999999998</v>
      </c>
      <c r="M81" s="3"/>
      <c r="N81" s="22">
        <f t="shared" si="15"/>
        <v>0.60521039344235539</v>
      </c>
      <c r="O81" s="12"/>
      <c r="P81" s="3">
        <v>-346348.67</v>
      </c>
      <c r="Q81" s="3"/>
      <c r="R81" s="22">
        <f t="shared" si="16"/>
        <v>-1.5707549475909599</v>
      </c>
      <c r="S81" s="3"/>
      <c r="T81" s="3">
        <v>-215765.28</v>
      </c>
      <c r="U81" s="3"/>
      <c r="V81" s="22">
        <f t="shared" si="17"/>
        <v>-0.94772208123917712</v>
      </c>
      <c r="W81" s="3"/>
      <c r="X81" s="3">
        <f t="shared" si="18"/>
        <v>-130583.38999999998</v>
      </c>
      <c r="Y81" s="3"/>
      <c r="Z81" s="22">
        <f t="shared" si="19"/>
        <v>0.60521039344235539</v>
      </c>
    </row>
    <row r="82" spans="1:26" s="24" customFormat="1" hidden="1" outlineLevel="1" x14ac:dyDescent="0.3">
      <c r="A82" s="50"/>
      <c r="B82" s="12" t="str">
        <f>CONCATENATE("          ", "5300", " - ", "COG$ OFFSET")</f>
        <v xml:space="preserve">          5300 - COG$ OFFSET</v>
      </c>
      <c r="C82" s="12"/>
      <c r="D82" s="3">
        <v>125411.41</v>
      </c>
      <c r="E82" s="3"/>
      <c r="F82" s="22">
        <f t="shared" si="12"/>
        <v>0.56876382040635065</v>
      </c>
      <c r="G82" s="3"/>
      <c r="H82" s="3">
        <v>135628</v>
      </c>
      <c r="I82" s="3"/>
      <c r="J82" s="22">
        <f t="shared" si="13"/>
        <v>0.59572907390061602</v>
      </c>
      <c r="K82" s="3"/>
      <c r="L82" s="3">
        <f t="shared" si="14"/>
        <v>-10216.589999999997</v>
      </c>
      <c r="M82" s="3"/>
      <c r="N82" s="22">
        <f t="shared" si="15"/>
        <v>-7.5328029610404912E-2</v>
      </c>
      <c r="O82" s="12"/>
      <c r="P82" s="3">
        <v>125411.41</v>
      </c>
      <c r="Q82" s="3"/>
      <c r="R82" s="22">
        <f t="shared" si="16"/>
        <v>0.56876382040635065</v>
      </c>
      <c r="S82" s="3"/>
      <c r="T82" s="3">
        <v>135628</v>
      </c>
      <c r="U82" s="3"/>
      <c r="V82" s="22">
        <f t="shared" si="17"/>
        <v>0.59572907390061602</v>
      </c>
      <c r="W82" s="3"/>
      <c r="X82" s="3">
        <f t="shared" si="18"/>
        <v>-10216.589999999997</v>
      </c>
      <c r="Y82" s="3"/>
      <c r="Z82" s="22">
        <f t="shared" si="19"/>
        <v>-7.5328029610404912E-2</v>
      </c>
    </row>
    <row r="83" spans="1:26" s="24" customFormat="1" hidden="1" outlineLevel="1" x14ac:dyDescent="0.3">
      <c r="A83" s="50"/>
      <c r="B83" s="12" t="str">
        <f>CONCATENATE("          ", "5500", " - ", "FREIGHT-IN")</f>
        <v xml:space="preserve">          5500 - FREIGHT-IN</v>
      </c>
      <c r="C83" s="12"/>
      <c r="D83" s="3">
        <v>3585.03</v>
      </c>
      <c r="E83" s="3"/>
      <c r="F83" s="22">
        <f t="shared" si="12"/>
        <v>1.6258770705722701E-2</v>
      </c>
      <c r="G83" s="3"/>
      <c r="H83" s="3">
        <v>0</v>
      </c>
      <c r="I83" s="3"/>
      <c r="J83" s="22">
        <f t="shared" si="13"/>
        <v>0</v>
      </c>
      <c r="K83" s="3"/>
      <c r="L83" s="3">
        <f t="shared" si="14"/>
        <v>3585.03</v>
      </c>
      <c r="M83" s="3"/>
      <c r="N83" s="22">
        <f t="shared" si="15"/>
        <v>0</v>
      </c>
      <c r="O83" s="12"/>
      <c r="P83" s="3">
        <v>3585.03</v>
      </c>
      <c r="Q83" s="3"/>
      <c r="R83" s="22">
        <f t="shared" si="16"/>
        <v>1.6258770705722701E-2</v>
      </c>
      <c r="S83" s="3"/>
      <c r="T83" s="3">
        <v>0</v>
      </c>
      <c r="U83" s="3"/>
      <c r="V83" s="22">
        <f t="shared" si="17"/>
        <v>0</v>
      </c>
      <c r="W83" s="3"/>
      <c r="X83" s="3">
        <f t="shared" si="18"/>
        <v>3585.03</v>
      </c>
      <c r="Y83" s="3"/>
      <c r="Z83" s="22">
        <f t="shared" si="19"/>
        <v>0</v>
      </c>
    </row>
    <row r="84" spans="1:26" s="24" customFormat="1" hidden="1" outlineLevel="1" x14ac:dyDescent="0.3">
      <c r="A84" s="50"/>
      <c r="B84" s="12" t="str">
        <f>CONCATENATE("          ", "5501", " - ", "FREIGHT-IN-NEW TEXT")</f>
        <v xml:space="preserve">          5501 - FREIGHT-IN-NEW TEXT</v>
      </c>
      <c r="C84" s="12"/>
      <c r="D84" s="3">
        <v>0</v>
      </c>
      <c r="E84" s="3"/>
      <c r="F84" s="22">
        <f t="shared" si="12"/>
        <v>0</v>
      </c>
      <c r="G84" s="3"/>
      <c r="H84" s="3">
        <v>802.72</v>
      </c>
      <c r="I84" s="3"/>
      <c r="J84" s="22">
        <f t="shared" si="13"/>
        <v>3.5258474813571134E-3</v>
      </c>
      <c r="K84" s="3"/>
      <c r="L84" s="3">
        <f t="shared" si="14"/>
        <v>-802.72</v>
      </c>
      <c r="M84" s="3"/>
      <c r="N84" s="22">
        <f t="shared" si="15"/>
        <v>-1</v>
      </c>
      <c r="O84" s="12"/>
      <c r="P84" s="3">
        <v>0</v>
      </c>
      <c r="Q84" s="3"/>
      <c r="R84" s="22">
        <f t="shared" si="16"/>
        <v>0</v>
      </c>
      <c r="S84" s="3"/>
      <c r="T84" s="3">
        <v>802.72</v>
      </c>
      <c r="U84" s="3"/>
      <c r="V84" s="22">
        <f t="shared" si="17"/>
        <v>3.5258474813571134E-3</v>
      </c>
      <c r="W84" s="3"/>
      <c r="X84" s="3">
        <f t="shared" si="18"/>
        <v>-802.72</v>
      </c>
      <c r="Y84" s="3"/>
      <c r="Z84" s="22">
        <f t="shared" si="19"/>
        <v>-1</v>
      </c>
    </row>
    <row r="85" spans="1:26" s="24" customFormat="1" hidden="1" outlineLevel="1" x14ac:dyDescent="0.3">
      <c r="A85" s="50"/>
      <c r="B85" s="12" t="str">
        <f>CONCATENATE("          ", "5502", " - ", "FREIGHT-IN-USED TEXT")</f>
        <v xml:space="preserve">          5502 - FREIGHT-IN-USED TEXT</v>
      </c>
      <c r="C85" s="12"/>
      <c r="D85" s="3">
        <v>0</v>
      </c>
      <c r="E85" s="3"/>
      <c r="F85" s="22">
        <f t="shared" si="12"/>
        <v>0</v>
      </c>
      <c r="G85" s="3"/>
      <c r="H85" s="3">
        <v>47.89</v>
      </c>
      <c r="I85" s="3"/>
      <c r="J85" s="22">
        <f t="shared" si="13"/>
        <v>2.1035085195608949E-4</v>
      </c>
      <c r="K85" s="3"/>
      <c r="L85" s="3">
        <f t="shared" si="14"/>
        <v>-47.89</v>
      </c>
      <c r="M85" s="3"/>
      <c r="N85" s="22">
        <f t="shared" si="15"/>
        <v>-1</v>
      </c>
      <c r="O85" s="12"/>
      <c r="P85" s="3">
        <v>0</v>
      </c>
      <c r="Q85" s="3"/>
      <c r="R85" s="22">
        <f t="shared" si="16"/>
        <v>0</v>
      </c>
      <c r="S85" s="3"/>
      <c r="T85" s="3">
        <v>47.89</v>
      </c>
      <c r="U85" s="3"/>
      <c r="V85" s="22">
        <f t="shared" si="17"/>
        <v>2.1035085195608949E-4</v>
      </c>
      <c r="W85" s="3"/>
      <c r="X85" s="3">
        <f t="shared" si="18"/>
        <v>-47.89</v>
      </c>
      <c r="Y85" s="3"/>
      <c r="Z85" s="22">
        <f t="shared" si="19"/>
        <v>-1</v>
      </c>
    </row>
    <row r="86" spans="1:26" s="24" customFormat="1" hidden="1" outlineLevel="1" x14ac:dyDescent="0.3">
      <c r="A86" s="50"/>
      <c r="B86" s="12" t="str">
        <f>CONCATENATE("          ", "5518", " - ", "FREIGHT-IN-STUDY GUIDES")</f>
        <v xml:space="preserve">          5518 - FREIGHT-IN-STUDY GUIDES</v>
      </c>
      <c r="C86" s="12"/>
      <c r="D86" s="3">
        <v>0</v>
      </c>
      <c r="E86" s="3"/>
      <c r="F86" s="22">
        <f t="shared" si="12"/>
        <v>0</v>
      </c>
      <c r="G86" s="3"/>
      <c r="H86" s="3"/>
      <c r="I86" s="3"/>
      <c r="J86" s="22">
        <f t="shared" si="13"/>
        <v>0</v>
      </c>
      <c r="K86" s="3"/>
      <c r="L86" s="3">
        <f t="shared" si="14"/>
        <v>0</v>
      </c>
      <c r="M86" s="3"/>
      <c r="N86" s="22">
        <f t="shared" si="15"/>
        <v>0</v>
      </c>
      <c r="O86" s="12"/>
      <c r="P86" s="3">
        <v>0</v>
      </c>
      <c r="Q86" s="3"/>
      <c r="R86" s="22">
        <f t="shared" si="16"/>
        <v>0</v>
      </c>
      <c r="S86" s="3"/>
      <c r="T86" s="3"/>
      <c r="U86" s="3"/>
      <c r="V86" s="22">
        <f t="shared" si="17"/>
        <v>0</v>
      </c>
      <c r="W86" s="3"/>
      <c r="X86" s="3">
        <f t="shared" si="18"/>
        <v>0</v>
      </c>
      <c r="Y86" s="3"/>
      <c r="Z86" s="22">
        <f t="shared" si="19"/>
        <v>0</v>
      </c>
    </row>
    <row r="87" spans="1:26" s="24" customFormat="1" hidden="1" outlineLevel="1" x14ac:dyDescent="0.3">
      <c r="A87" s="50"/>
      <c r="B87" s="12" t="str">
        <f>CONCATENATE("          ", "5528", " - ", "FREIGHT-IN-ART/TECH")</f>
        <v xml:space="preserve">          5528 - FREIGHT-IN-ART/TECH</v>
      </c>
      <c r="C87" s="12"/>
      <c r="D87" s="3"/>
      <c r="E87" s="3"/>
      <c r="F87" s="22">
        <f t="shared" si="12"/>
        <v>0</v>
      </c>
      <c r="G87" s="3"/>
      <c r="H87" s="3">
        <v>38.049999999999997</v>
      </c>
      <c r="I87" s="3"/>
      <c r="J87" s="22">
        <f t="shared" si="13"/>
        <v>1.6712987924262277E-4</v>
      </c>
      <c r="K87" s="3"/>
      <c r="L87" s="3">
        <f t="shared" si="14"/>
        <v>-38.049999999999997</v>
      </c>
      <c r="M87" s="3"/>
      <c r="N87" s="22">
        <f t="shared" si="15"/>
        <v>-1</v>
      </c>
      <c r="O87" s="12"/>
      <c r="P87" s="3"/>
      <c r="Q87" s="3"/>
      <c r="R87" s="22">
        <f t="shared" si="16"/>
        <v>0</v>
      </c>
      <c r="S87" s="3"/>
      <c r="T87" s="3">
        <v>38.049999999999997</v>
      </c>
      <c r="U87" s="3"/>
      <c r="V87" s="22">
        <f t="shared" si="17"/>
        <v>1.6712987924262277E-4</v>
      </c>
      <c r="W87" s="3"/>
      <c r="X87" s="3">
        <f t="shared" si="18"/>
        <v>-38.049999999999997</v>
      </c>
      <c r="Y87" s="3"/>
      <c r="Z87" s="22">
        <f t="shared" si="19"/>
        <v>-1</v>
      </c>
    </row>
    <row r="88" spans="1:26" s="24" customFormat="1" hidden="1" outlineLevel="1" x14ac:dyDescent="0.3">
      <c r="A88" s="50"/>
      <c r="B88" s="12" t="str">
        <f>CONCATENATE("          ", "5540", " - ", "FREIGHT-IN-LOGO CLOTHING")</f>
        <v xml:space="preserve">          5540 - FREIGHT-IN-LOGO CLOTHING</v>
      </c>
      <c r="C88" s="12"/>
      <c r="D88" s="3">
        <v>0</v>
      </c>
      <c r="E88" s="3"/>
      <c r="F88" s="22">
        <f t="shared" si="12"/>
        <v>0</v>
      </c>
      <c r="G88" s="3"/>
      <c r="H88" s="3">
        <v>909.83</v>
      </c>
      <c r="I88" s="3"/>
      <c r="J88" s="22">
        <f t="shared" si="13"/>
        <v>3.9963147971436392E-3</v>
      </c>
      <c r="K88" s="3"/>
      <c r="L88" s="3">
        <f t="shared" si="14"/>
        <v>-909.83</v>
      </c>
      <c r="M88" s="3"/>
      <c r="N88" s="22">
        <f t="shared" si="15"/>
        <v>-1</v>
      </c>
      <c r="O88" s="12"/>
      <c r="P88" s="3">
        <v>0</v>
      </c>
      <c r="Q88" s="3"/>
      <c r="R88" s="22">
        <f t="shared" si="16"/>
        <v>0</v>
      </c>
      <c r="S88" s="3"/>
      <c r="T88" s="3">
        <v>909.83</v>
      </c>
      <c r="U88" s="3"/>
      <c r="V88" s="22">
        <f t="shared" si="17"/>
        <v>3.9963147971436392E-3</v>
      </c>
      <c r="W88" s="3"/>
      <c r="X88" s="3">
        <f t="shared" si="18"/>
        <v>-909.83</v>
      </c>
      <c r="Y88" s="3"/>
      <c r="Z88" s="22">
        <f t="shared" si="19"/>
        <v>-1</v>
      </c>
    </row>
    <row r="89" spans="1:26" s="24" customFormat="1" hidden="1" outlineLevel="1" x14ac:dyDescent="0.3">
      <c r="A89" s="50"/>
      <c r="B89" s="12" t="str">
        <f>CONCATENATE("          ", "5541", " - ", "FREIGHT-IN-LOGO GIFTS")</f>
        <v xml:space="preserve">          5541 - FREIGHT-IN-LOGO GIFTS</v>
      </c>
      <c r="C89" s="12"/>
      <c r="D89" s="3">
        <v>0</v>
      </c>
      <c r="E89" s="3"/>
      <c r="F89" s="22">
        <f t="shared" si="12"/>
        <v>0</v>
      </c>
      <c r="G89" s="3"/>
      <c r="H89" s="3">
        <v>83.58</v>
      </c>
      <c r="I89" s="3"/>
      <c r="J89" s="22">
        <f t="shared" si="13"/>
        <v>3.6711472554792148E-4</v>
      </c>
      <c r="K89" s="3"/>
      <c r="L89" s="3">
        <f t="shared" si="14"/>
        <v>-83.58</v>
      </c>
      <c r="M89" s="3"/>
      <c r="N89" s="22">
        <f t="shared" si="15"/>
        <v>-1</v>
      </c>
      <c r="O89" s="12"/>
      <c r="P89" s="3">
        <v>0</v>
      </c>
      <c r="Q89" s="3"/>
      <c r="R89" s="22">
        <f t="shared" si="16"/>
        <v>0</v>
      </c>
      <c r="S89" s="3"/>
      <c r="T89" s="3">
        <v>83.58</v>
      </c>
      <c r="U89" s="3"/>
      <c r="V89" s="22">
        <f t="shared" si="17"/>
        <v>3.6711472554792148E-4</v>
      </c>
      <c r="W89" s="3"/>
      <c r="X89" s="3">
        <f t="shared" si="18"/>
        <v>-83.58</v>
      </c>
      <c r="Y89" s="3"/>
      <c r="Z89" s="22">
        <f t="shared" si="19"/>
        <v>-1</v>
      </c>
    </row>
    <row r="90" spans="1:26" s="24" customFormat="1" hidden="1" outlineLevel="1" x14ac:dyDescent="0.3">
      <c r="A90" s="50"/>
      <c r="B90" s="12" t="str">
        <f>CONCATENATE("          ", "5542", " - ", "FREIGHT-IN-EVERYDAY GIFTS")</f>
        <v xml:space="preserve">          5542 - FREIGHT-IN-EVERYDAY GIFTS</v>
      </c>
      <c r="C90" s="12"/>
      <c r="D90" s="3">
        <v>0</v>
      </c>
      <c r="E90" s="3"/>
      <c r="F90" s="22">
        <f t="shared" si="12"/>
        <v>0</v>
      </c>
      <c r="G90" s="3"/>
      <c r="H90" s="3">
        <v>5.94</v>
      </c>
      <c r="I90" s="3"/>
      <c r="J90" s="22">
        <f t="shared" si="13"/>
        <v>2.6090709138007341E-5</v>
      </c>
      <c r="K90" s="3"/>
      <c r="L90" s="3">
        <f t="shared" si="14"/>
        <v>-5.94</v>
      </c>
      <c r="M90" s="3"/>
      <c r="N90" s="22">
        <f t="shared" si="15"/>
        <v>-1</v>
      </c>
      <c r="O90" s="12"/>
      <c r="P90" s="3">
        <v>0</v>
      </c>
      <c r="Q90" s="3"/>
      <c r="R90" s="22">
        <f t="shared" si="16"/>
        <v>0</v>
      </c>
      <c r="S90" s="3"/>
      <c r="T90" s="3">
        <v>5.94</v>
      </c>
      <c r="U90" s="3"/>
      <c r="V90" s="22">
        <f t="shared" si="17"/>
        <v>2.6090709138007341E-5</v>
      </c>
      <c r="W90" s="3"/>
      <c r="X90" s="3">
        <f t="shared" si="18"/>
        <v>-5.94</v>
      </c>
      <c r="Y90" s="3"/>
      <c r="Z90" s="22">
        <f t="shared" si="19"/>
        <v>-1</v>
      </c>
    </row>
    <row r="91" spans="1:26" s="24" customFormat="1" hidden="1" outlineLevel="1" x14ac:dyDescent="0.3">
      <c r="A91" s="50"/>
      <c r="B91" s="12" t="str">
        <f>CONCATENATE("          ", "5544", " - ", "FREIGHT-IN-ACCESSORIES")</f>
        <v xml:space="preserve">          5544 - FREIGHT-IN-ACCESSORIES</v>
      </c>
      <c r="C91" s="12"/>
      <c r="D91" s="3">
        <v>0</v>
      </c>
      <c r="E91" s="3"/>
      <c r="F91" s="22">
        <f t="shared" si="12"/>
        <v>0</v>
      </c>
      <c r="G91" s="3"/>
      <c r="H91" s="3"/>
      <c r="I91" s="3"/>
      <c r="J91" s="22">
        <f t="shared" si="13"/>
        <v>0</v>
      </c>
      <c r="K91" s="3"/>
      <c r="L91" s="3">
        <f t="shared" si="14"/>
        <v>0</v>
      </c>
      <c r="M91" s="3"/>
      <c r="N91" s="22">
        <f t="shared" si="15"/>
        <v>0</v>
      </c>
      <c r="O91" s="12"/>
      <c r="P91" s="3">
        <v>0</v>
      </c>
      <c r="Q91" s="3"/>
      <c r="R91" s="22">
        <f t="shared" si="16"/>
        <v>0</v>
      </c>
      <c r="S91" s="3"/>
      <c r="T91" s="3"/>
      <c r="U91" s="3"/>
      <c r="V91" s="22">
        <f t="shared" si="17"/>
        <v>0</v>
      </c>
      <c r="W91" s="3"/>
      <c r="X91" s="3">
        <f t="shared" si="18"/>
        <v>0</v>
      </c>
      <c r="Y91" s="3"/>
      <c r="Z91" s="22">
        <f t="shared" si="19"/>
        <v>0</v>
      </c>
    </row>
    <row r="92" spans="1:26" s="24" customFormat="1" hidden="1" outlineLevel="1" x14ac:dyDescent="0.3">
      <c r="A92" s="50"/>
      <c r="B92" s="12" t="str">
        <f>CONCATENATE("          ", "5545", " - ", "FREIGHT-IN-SPECIAL ORDERS")</f>
        <v xml:space="preserve">          5545 - FREIGHT-IN-SPECIAL ORDERS</v>
      </c>
      <c r="C92" s="12"/>
      <c r="D92" s="3">
        <v>0</v>
      </c>
      <c r="E92" s="3"/>
      <c r="F92" s="22">
        <f t="shared" si="12"/>
        <v>0</v>
      </c>
      <c r="G92" s="3"/>
      <c r="H92" s="3">
        <v>300.39999999999998</v>
      </c>
      <c r="I92" s="3"/>
      <c r="J92" s="22">
        <f t="shared" si="13"/>
        <v>1.3194695328379469E-3</v>
      </c>
      <c r="K92" s="3"/>
      <c r="L92" s="3">
        <f t="shared" si="14"/>
        <v>-300.39999999999998</v>
      </c>
      <c r="M92" s="3"/>
      <c r="N92" s="22">
        <f t="shared" si="15"/>
        <v>-1</v>
      </c>
      <c r="O92" s="12"/>
      <c r="P92" s="3">
        <v>0</v>
      </c>
      <c r="Q92" s="3"/>
      <c r="R92" s="22">
        <f t="shared" si="16"/>
        <v>0</v>
      </c>
      <c r="S92" s="3"/>
      <c r="T92" s="3">
        <v>300.39999999999998</v>
      </c>
      <c r="U92" s="3"/>
      <c r="V92" s="22">
        <f t="shared" si="17"/>
        <v>1.3194695328379469E-3</v>
      </c>
      <c r="W92" s="3"/>
      <c r="X92" s="3">
        <f t="shared" si="18"/>
        <v>-300.39999999999998</v>
      </c>
      <c r="Y92" s="3"/>
      <c r="Z92" s="22">
        <f t="shared" si="19"/>
        <v>-1</v>
      </c>
    </row>
    <row r="93" spans="1:26" s="24" customFormat="1" hidden="1" outlineLevel="1" x14ac:dyDescent="0.3">
      <c r="A93" s="50"/>
      <c r="B93" s="12" t="str">
        <f>CONCATENATE("          ", "5592", " - ", "FREIGHT-IN-GRAD MERCH")</f>
        <v xml:space="preserve">          5592 - FREIGHT-IN-GRAD MERCH</v>
      </c>
      <c r="C93" s="12"/>
      <c r="D93" s="3"/>
      <c r="E93" s="3"/>
      <c r="F93" s="22">
        <f t="shared" si="12"/>
        <v>0</v>
      </c>
      <c r="G93" s="3"/>
      <c r="H93" s="3">
        <v>0</v>
      </c>
      <c r="I93" s="3"/>
      <c r="J93" s="22">
        <f t="shared" si="13"/>
        <v>0</v>
      </c>
      <c r="K93" s="3"/>
      <c r="L93" s="3">
        <f t="shared" si="14"/>
        <v>0</v>
      </c>
      <c r="M93" s="3"/>
      <c r="N93" s="22">
        <f t="shared" si="15"/>
        <v>0</v>
      </c>
      <c r="O93" s="12"/>
      <c r="P93" s="3"/>
      <c r="Q93" s="3"/>
      <c r="R93" s="22">
        <f t="shared" si="16"/>
        <v>0</v>
      </c>
      <c r="S93" s="3"/>
      <c r="T93" s="3">
        <v>0</v>
      </c>
      <c r="U93" s="3"/>
      <c r="V93" s="22">
        <f t="shared" si="17"/>
        <v>0</v>
      </c>
      <c r="W93" s="3"/>
      <c r="X93" s="3">
        <f t="shared" si="18"/>
        <v>0</v>
      </c>
      <c r="Y93" s="3"/>
      <c r="Z93" s="22">
        <f t="shared" si="19"/>
        <v>0</v>
      </c>
    </row>
    <row r="94" spans="1:26" x14ac:dyDescent="0.3">
      <c r="A94" s="9"/>
      <c r="B94" s="10"/>
      <c r="C94" s="10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10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23" customFormat="1" x14ac:dyDescent="0.3">
      <c r="A95" s="10"/>
      <c r="B95" s="26" t="s">
        <v>107</v>
      </c>
      <c r="C95" s="26"/>
      <c r="D95" s="20">
        <f>D12-D64</f>
        <v>93076.780000000028</v>
      </c>
      <c r="E95" s="13"/>
      <c r="F95" s="21">
        <f>IF(D$12=0,0,D95/D$12)</f>
        <v>0.42212032369240904</v>
      </c>
      <c r="G95" s="13"/>
      <c r="H95" s="20">
        <f>H12-H64</f>
        <v>86498.849999999919</v>
      </c>
      <c r="I95" s="13"/>
      <c r="J95" s="21">
        <f>IF(H$12=0,0,H95/H$12)</f>
        <v>0.37993541012156973</v>
      </c>
      <c r="K95" s="16"/>
      <c r="L95" s="20">
        <f>+D95-H95</f>
        <v>6577.9300000001094</v>
      </c>
      <c r="M95" s="16"/>
      <c r="N95" s="21">
        <f>IF(H95=0,0,L95/H95)</f>
        <v>7.604644454810805E-2</v>
      </c>
      <c r="O95" s="25"/>
      <c r="P95" s="20">
        <f>P12-P64</f>
        <v>93076.780000000028</v>
      </c>
      <c r="Q95" s="13"/>
      <c r="R95" s="21">
        <f>IF(P$12=0,0,P95/P$12)</f>
        <v>0.42212032369240904</v>
      </c>
      <c r="S95" s="13"/>
      <c r="T95" s="20">
        <f>T12-T64</f>
        <v>86498.849999999919</v>
      </c>
      <c r="U95" s="13"/>
      <c r="V95" s="21">
        <f>IF(T$12=0,0,T95/T$12)</f>
        <v>0.37993541012156973</v>
      </c>
      <c r="W95" s="16"/>
      <c r="X95" s="20">
        <f>+P95-T95</f>
        <v>6577.9300000001094</v>
      </c>
      <c r="Y95" s="16"/>
      <c r="Z95" s="21">
        <f>IF(T95=0,0,X95/T95)</f>
        <v>7.604644454810805E-2</v>
      </c>
    </row>
    <row r="96" spans="1:26" x14ac:dyDescent="0.3">
      <c r="A96" s="9"/>
      <c r="B96" s="10"/>
      <c r="C96" s="9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3">
      <c r="A97" s="10"/>
      <c r="B97" s="25" t="s">
        <v>294</v>
      </c>
      <c r="C97" s="10"/>
      <c r="D97" s="19">
        <f>SUM(OSRRefD22x_0)</f>
        <v>375360.22999999992</v>
      </c>
      <c r="E97" s="19"/>
      <c r="F97" s="35">
        <f t="shared" ref="F97:F108" si="20">IF(D$12=0,0,D97/D$12)</f>
        <v>1.7023277104005641</v>
      </c>
      <c r="G97" s="19"/>
      <c r="H97" s="19">
        <f>SUM(OSRRefH22x_0)</f>
        <v>353875.87999999995</v>
      </c>
      <c r="I97" s="19"/>
      <c r="J97" s="35">
        <f t="shared" ref="J97:J108" si="21">IF(H$12=0,0,H97/H$12)</f>
        <v>1.5543556659993918</v>
      </c>
      <c r="K97" s="4"/>
      <c r="L97" s="19">
        <f t="shared" ref="L97:L108" si="22">+D97-H97</f>
        <v>21484.349999999977</v>
      </c>
      <c r="M97" s="4"/>
      <c r="N97" s="35">
        <f t="shared" ref="N97:N108" si="23">IF(H97=0,0,L97/H97)</f>
        <v>6.0711541006976739E-2</v>
      </c>
      <c r="O97" s="10"/>
      <c r="P97" s="19">
        <f>SUM(OSRRefP22x_0)</f>
        <v>375360.22999999992</v>
      </c>
      <c r="Q97" s="19"/>
      <c r="R97" s="35">
        <f t="shared" ref="R97:R108" si="24">IF(P$12=0,0,P97/P$12)</f>
        <v>1.7023277104005641</v>
      </c>
      <c r="S97" s="19"/>
      <c r="T97" s="19">
        <f>SUM(OSRRefT22x_0)</f>
        <v>353875.87999999995</v>
      </c>
      <c r="U97" s="19"/>
      <c r="V97" s="35">
        <f t="shared" ref="V97:V108" si="25">IF(T$12=0,0,T97/T$12)</f>
        <v>1.5543556659993918</v>
      </c>
      <c r="W97" s="4"/>
      <c r="X97" s="19">
        <f t="shared" ref="X97:X108" si="26">+P97-T97</f>
        <v>21484.349999999977</v>
      </c>
      <c r="Y97" s="4"/>
      <c r="Z97" s="35">
        <f t="shared" ref="Z97:Z108" si="27">IF(T97=0,0,X97/T97)</f>
        <v>6.0711541006976739E-2</v>
      </c>
    </row>
    <row r="98" spans="1:26" s="29" customFormat="1" outlineLevel="1" collapsed="1" x14ac:dyDescent="0.3">
      <c r="A98" s="28"/>
      <c r="B98" s="14" t="str">
        <f>CONCATENATE("     ","*Benefits                                         ")</f>
        <v xml:space="preserve">     *Benefits                                         </v>
      </c>
      <c r="C98" s="14"/>
      <c r="D98" s="1">
        <f>SUM(OSRRefD22_0x_0)</f>
        <v>47426.359999999993</v>
      </c>
      <c r="E98" s="1"/>
      <c r="F98" s="5">
        <f t="shared" si="20"/>
        <v>0.21508726918521151</v>
      </c>
      <c r="G98" s="1"/>
      <c r="H98" s="1">
        <f>SUM(OSRRefH22_0x_0)</f>
        <v>49661.67</v>
      </c>
      <c r="I98" s="1"/>
      <c r="J98" s="5">
        <f t="shared" si="21"/>
        <v>0.21813269146089309</v>
      </c>
      <c r="K98" s="1"/>
      <c r="L98" s="1">
        <f t="shared" si="22"/>
        <v>-2235.3100000000049</v>
      </c>
      <c r="M98" s="1"/>
      <c r="N98" s="5">
        <f t="shared" si="23"/>
        <v>-4.5010769875439248E-2</v>
      </c>
      <c r="O98" s="14"/>
      <c r="P98" s="1">
        <f>SUM(OSRRefP22_0x_0)</f>
        <v>47426.359999999993</v>
      </c>
      <c r="Q98" s="1"/>
      <c r="R98" s="5">
        <f t="shared" si="24"/>
        <v>0.21508726918521151</v>
      </c>
      <c r="S98" s="1"/>
      <c r="T98" s="1">
        <f>SUM(OSRRefT22_0x_0)</f>
        <v>49661.67</v>
      </c>
      <c r="U98" s="1"/>
      <c r="V98" s="5">
        <f t="shared" si="25"/>
        <v>0.21813269146089309</v>
      </c>
      <c r="W98" s="1"/>
      <c r="X98" s="1">
        <f t="shared" si="26"/>
        <v>-2235.3100000000049</v>
      </c>
      <c r="Y98" s="1"/>
      <c r="Z98" s="5">
        <f t="shared" si="27"/>
        <v>-4.5010769875439248E-2</v>
      </c>
    </row>
    <row r="99" spans="1:26" s="24" customFormat="1" hidden="1" outlineLevel="2" x14ac:dyDescent="0.3">
      <c r="A99" s="27"/>
      <c r="B99" s="12" t="str">
        <f>CONCATENATE("          ", "6111", " - ", "F.I.C.A.")</f>
        <v xml:space="preserve">          6111 - F.I.C.A.</v>
      </c>
      <c r="C99" s="12"/>
      <c r="D99" s="8">
        <v>9628.01</v>
      </c>
      <c r="E99" s="3"/>
      <c r="F99" s="7">
        <f t="shared" si="20"/>
        <v>4.3664796931240528E-2</v>
      </c>
      <c r="G99" s="3"/>
      <c r="H99" s="8">
        <v>8428.1200000000008</v>
      </c>
      <c r="I99" s="3"/>
      <c r="J99" s="7">
        <f t="shared" si="21"/>
        <v>3.7019465909128357E-2</v>
      </c>
      <c r="K99" s="3"/>
      <c r="L99" s="8">
        <f t="shared" si="22"/>
        <v>1199.8899999999994</v>
      </c>
      <c r="M99" s="3"/>
      <c r="N99" s="7">
        <f t="shared" si="23"/>
        <v>0.14236745561287681</v>
      </c>
      <c r="O99" s="12"/>
      <c r="P99" s="8">
        <v>9628.01</v>
      </c>
      <c r="Q99" s="3"/>
      <c r="R99" s="7">
        <f t="shared" si="24"/>
        <v>4.3664796931240528E-2</v>
      </c>
      <c r="S99" s="3"/>
      <c r="T99" s="8">
        <v>8428.1200000000008</v>
      </c>
      <c r="U99" s="3"/>
      <c r="V99" s="7">
        <f t="shared" si="25"/>
        <v>3.7019465909128357E-2</v>
      </c>
      <c r="W99" s="3"/>
      <c r="X99" s="8">
        <f t="shared" si="26"/>
        <v>1199.8899999999994</v>
      </c>
      <c r="Y99" s="3"/>
      <c r="Z99" s="7">
        <f t="shared" si="27"/>
        <v>0.14236745561287681</v>
      </c>
    </row>
    <row r="100" spans="1:26" s="24" customFormat="1" hidden="1" outlineLevel="2" x14ac:dyDescent="0.3">
      <c r="A100" s="27"/>
      <c r="B100" s="12" t="str">
        <f>CONCATENATE("          ", "6112", " - ", "COMPENSATION INSURANCE")</f>
        <v xml:space="preserve">          6112 - COMPENSATION INSURANCE</v>
      </c>
      <c r="C100" s="12"/>
      <c r="D100" s="8">
        <v>1973.41</v>
      </c>
      <c r="E100" s="3"/>
      <c r="F100" s="7">
        <f t="shared" si="20"/>
        <v>8.9497774630561636E-3</v>
      </c>
      <c r="G100" s="3"/>
      <c r="H100" s="8">
        <v>1948.81</v>
      </c>
      <c r="I100" s="3"/>
      <c r="J100" s="7">
        <f t="shared" si="21"/>
        <v>8.5599048611515287E-3</v>
      </c>
      <c r="K100" s="3"/>
      <c r="L100" s="8">
        <f t="shared" si="22"/>
        <v>24.600000000000136</v>
      </c>
      <c r="M100" s="3"/>
      <c r="N100" s="7">
        <f t="shared" si="23"/>
        <v>1.2623087935714686E-2</v>
      </c>
      <c r="O100" s="12"/>
      <c r="P100" s="8">
        <v>1973.41</v>
      </c>
      <c r="Q100" s="3"/>
      <c r="R100" s="7">
        <f t="shared" si="24"/>
        <v>8.9497774630561636E-3</v>
      </c>
      <c r="S100" s="3"/>
      <c r="T100" s="8">
        <v>1948.81</v>
      </c>
      <c r="U100" s="3"/>
      <c r="V100" s="7">
        <f t="shared" si="25"/>
        <v>8.5599048611515287E-3</v>
      </c>
      <c r="W100" s="3"/>
      <c r="X100" s="8">
        <f t="shared" si="26"/>
        <v>24.600000000000136</v>
      </c>
      <c r="Y100" s="3"/>
      <c r="Z100" s="7">
        <f t="shared" si="27"/>
        <v>1.2623087935714686E-2</v>
      </c>
    </row>
    <row r="101" spans="1:26" s="24" customFormat="1" hidden="1" outlineLevel="2" x14ac:dyDescent="0.3">
      <c r="A101" s="27"/>
      <c r="B101" s="12" t="str">
        <f>CONCATENATE("          ", "6113", " - ", "GROUP INSURANCE")</f>
        <v xml:space="preserve">          6113 - GROUP INSURANCE</v>
      </c>
      <c r="C101" s="12"/>
      <c r="D101" s="8">
        <v>17896.5</v>
      </c>
      <c r="E101" s="3"/>
      <c r="F101" s="7">
        <f t="shared" si="20"/>
        <v>8.1163920506931969E-2</v>
      </c>
      <c r="G101" s="3"/>
      <c r="H101" s="8">
        <v>18089.25</v>
      </c>
      <c r="I101" s="3"/>
      <c r="J101" s="7">
        <f t="shared" si="21"/>
        <v>7.945477445702008E-2</v>
      </c>
      <c r="K101" s="3"/>
      <c r="L101" s="8">
        <f t="shared" si="22"/>
        <v>-192.75</v>
      </c>
      <c r="M101" s="3"/>
      <c r="N101" s="7">
        <f t="shared" si="23"/>
        <v>-1.06554998134251E-2</v>
      </c>
      <c r="O101" s="12"/>
      <c r="P101" s="8">
        <v>17896.5</v>
      </c>
      <c r="Q101" s="3"/>
      <c r="R101" s="7">
        <f t="shared" si="24"/>
        <v>8.1163920506931969E-2</v>
      </c>
      <c r="S101" s="3"/>
      <c r="T101" s="8">
        <v>18089.25</v>
      </c>
      <c r="U101" s="3"/>
      <c r="V101" s="7">
        <f t="shared" si="25"/>
        <v>7.945477445702008E-2</v>
      </c>
      <c r="W101" s="3"/>
      <c r="X101" s="8">
        <f t="shared" si="26"/>
        <v>-192.75</v>
      </c>
      <c r="Y101" s="3"/>
      <c r="Z101" s="7">
        <f t="shared" si="27"/>
        <v>-1.06554998134251E-2</v>
      </c>
    </row>
    <row r="102" spans="1:26" s="24" customFormat="1" hidden="1" outlineLevel="2" x14ac:dyDescent="0.3">
      <c r="A102" s="27"/>
      <c r="B102" s="12" t="str">
        <f>CONCATENATE("          ", "6114", " - ", "STATE UNEMPLOYMENT INSURANCE")</f>
        <v xml:space="preserve">          6114 - STATE UNEMPLOYMENT INSURANCE</v>
      </c>
      <c r="C102" s="12"/>
      <c r="D102" s="8">
        <v>357.53</v>
      </c>
      <c r="E102" s="3"/>
      <c r="F102" s="7">
        <f t="shared" si="20"/>
        <v>1.621464336537501E-3</v>
      </c>
      <c r="G102" s="3"/>
      <c r="H102" s="8">
        <v>298.95</v>
      </c>
      <c r="I102" s="3"/>
      <c r="J102" s="7">
        <f t="shared" si="21"/>
        <v>1.3131005886880965E-3</v>
      </c>
      <c r="K102" s="3"/>
      <c r="L102" s="8">
        <f t="shared" si="22"/>
        <v>58.579999999999984</v>
      </c>
      <c r="M102" s="3"/>
      <c r="N102" s="7">
        <f t="shared" si="23"/>
        <v>0.19595250041813009</v>
      </c>
      <c r="O102" s="12"/>
      <c r="P102" s="8">
        <v>357.53</v>
      </c>
      <c r="Q102" s="3"/>
      <c r="R102" s="7">
        <f t="shared" si="24"/>
        <v>1.621464336537501E-3</v>
      </c>
      <c r="S102" s="3"/>
      <c r="T102" s="8">
        <v>298.95</v>
      </c>
      <c r="U102" s="3"/>
      <c r="V102" s="7">
        <f t="shared" si="25"/>
        <v>1.3131005886880965E-3</v>
      </c>
      <c r="W102" s="3"/>
      <c r="X102" s="8">
        <f t="shared" si="26"/>
        <v>58.579999999999984</v>
      </c>
      <c r="Y102" s="3"/>
      <c r="Z102" s="7">
        <f t="shared" si="27"/>
        <v>0.19595250041813009</v>
      </c>
    </row>
    <row r="103" spans="1:26" s="24" customFormat="1" hidden="1" outlineLevel="2" x14ac:dyDescent="0.3">
      <c r="A103" s="27"/>
      <c r="B103" s="12" t="str">
        <f>CONCATENATE("          ", "6115", " - ", "P.E.R.S.")</f>
        <v xml:space="preserve">          6115 - P.E.R.S.</v>
      </c>
      <c r="C103" s="12"/>
      <c r="D103" s="8">
        <v>6296.23</v>
      </c>
      <c r="E103" s="3"/>
      <c r="F103" s="7">
        <f t="shared" si="20"/>
        <v>2.8554561574238552E-2</v>
      </c>
      <c r="G103" s="3"/>
      <c r="H103" s="8">
        <v>10020.82</v>
      </c>
      <c r="I103" s="3"/>
      <c r="J103" s="7">
        <f t="shared" si="21"/>
        <v>4.401520201082941E-2</v>
      </c>
      <c r="K103" s="3"/>
      <c r="L103" s="8">
        <f t="shared" si="22"/>
        <v>-3724.59</v>
      </c>
      <c r="M103" s="3"/>
      <c r="N103" s="7">
        <f t="shared" si="23"/>
        <v>-0.37168515151454673</v>
      </c>
      <c r="O103" s="12"/>
      <c r="P103" s="8">
        <v>6296.23</v>
      </c>
      <c r="Q103" s="3"/>
      <c r="R103" s="7">
        <f t="shared" si="24"/>
        <v>2.8554561574238552E-2</v>
      </c>
      <c r="S103" s="3"/>
      <c r="T103" s="8">
        <v>10020.82</v>
      </c>
      <c r="U103" s="3"/>
      <c r="V103" s="7">
        <f t="shared" si="25"/>
        <v>4.401520201082941E-2</v>
      </c>
      <c r="W103" s="3"/>
      <c r="X103" s="8">
        <f t="shared" si="26"/>
        <v>-3724.59</v>
      </c>
      <c r="Y103" s="3"/>
      <c r="Z103" s="7">
        <f t="shared" si="27"/>
        <v>-0.37168515151454673</v>
      </c>
    </row>
    <row r="104" spans="1:26" s="24" customFormat="1" hidden="1" outlineLevel="2" x14ac:dyDescent="0.3">
      <c r="A104" s="27"/>
      <c r="B104" s="12" t="str">
        <f>CONCATENATE("          ", "6116", " - ", "EDUCATIONAL BENEFITS")</f>
        <v xml:space="preserve">          6116 - EDUCATIONAL BENEFITS</v>
      </c>
      <c r="C104" s="12"/>
      <c r="D104" s="8"/>
      <c r="E104" s="3"/>
      <c r="F104" s="7">
        <f t="shared" si="20"/>
        <v>0</v>
      </c>
      <c r="G104" s="3"/>
      <c r="H104" s="8">
        <v>0</v>
      </c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/>
      <c r="Q104" s="3"/>
      <c r="R104" s="7">
        <f t="shared" si="24"/>
        <v>0</v>
      </c>
      <c r="S104" s="3"/>
      <c r="T104" s="8">
        <v>0</v>
      </c>
      <c r="U104" s="3"/>
      <c r="V104" s="7">
        <f t="shared" si="25"/>
        <v>0</v>
      </c>
      <c r="W104" s="3"/>
      <c r="X104" s="8">
        <f t="shared" si="26"/>
        <v>0</v>
      </c>
      <c r="Y104" s="3"/>
      <c r="Z104" s="7">
        <f t="shared" si="27"/>
        <v>0</v>
      </c>
    </row>
    <row r="105" spans="1:26" s="24" customFormat="1" hidden="1" outlineLevel="2" x14ac:dyDescent="0.3">
      <c r="A105" s="27"/>
      <c r="B105" s="12" t="str">
        <f>CONCATENATE("          ", "6117", " - ", "RETIREMENT STAFF HOURLY")</f>
        <v xml:space="preserve">          6117 - RETIREMENT STAFF HOURLY</v>
      </c>
      <c r="C105" s="12"/>
      <c r="D105" s="8">
        <v>552.85</v>
      </c>
      <c r="E105" s="3"/>
      <c r="F105" s="7">
        <f t="shared" si="20"/>
        <v>2.5072764759733659E-3</v>
      </c>
      <c r="G105" s="3"/>
      <c r="H105" s="8">
        <v>333.14</v>
      </c>
      <c r="I105" s="3"/>
      <c r="J105" s="7">
        <f t="shared" si="21"/>
        <v>1.4632758993662904E-3</v>
      </c>
      <c r="K105" s="3"/>
      <c r="L105" s="8">
        <f t="shared" si="22"/>
        <v>219.71000000000004</v>
      </c>
      <c r="M105" s="3"/>
      <c r="N105" s="7">
        <f t="shared" si="23"/>
        <v>0.65951251726001092</v>
      </c>
      <c r="O105" s="12"/>
      <c r="P105" s="8">
        <v>552.85</v>
      </c>
      <c r="Q105" s="3"/>
      <c r="R105" s="7">
        <f t="shared" si="24"/>
        <v>2.5072764759733659E-3</v>
      </c>
      <c r="S105" s="3"/>
      <c r="T105" s="8">
        <v>333.14</v>
      </c>
      <c r="U105" s="3"/>
      <c r="V105" s="7">
        <f t="shared" si="25"/>
        <v>1.4632758993662904E-3</v>
      </c>
      <c r="W105" s="3"/>
      <c r="X105" s="8">
        <f t="shared" si="26"/>
        <v>219.71000000000004</v>
      </c>
      <c r="Y105" s="3"/>
      <c r="Z105" s="7">
        <f t="shared" si="27"/>
        <v>0.65951251726001092</v>
      </c>
    </row>
    <row r="106" spans="1:26" s="24" customFormat="1" hidden="1" outlineLevel="2" x14ac:dyDescent="0.3">
      <c r="A106" s="27"/>
      <c r="B106" s="12" t="str">
        <f>CONCATENATE("          ", "6118", " - ", "VACATION")</f>
        <v xml:space="preserve">          6118 - VACATION</v>
      </c>
      <c r="C106" s="12"/>
      <c r="D106" s="8">
        <v>5400.79</v>
      </c>
      <c r="E106" s="3"/>
      <c r="F106" s="7">
        <f t="shared" si="20"/>
        <v>2.4493576410730206E-2</v>
      </c>
      <c r="G106" s="3"/>
      <c r="H106" s="8">
        <v>5532.58</v>
      </c>
      <c r="I106" s="3"/>
      <c r="J106" s="7">
        <f t="shared" si="21"/>
        <v>2.4301167603157686E-2</v>
      </c>
      <c r="K106" s="3"/>
      <c r="L106" s="8">
        <f t="shared" si="22"/>
        <v>-131.78999999999996</v>
      </c>
      <c r="M106" s="3"/>
      <c r="N106" s="7">
        <f t="shared" si="23"/>
        <v>-2.3820712940436462E-2</v>
      </c>
      <c r="O106" s="12"/>
      <c r="P106" s="8">
        <v>5400.79</v>
      </c>
      <c r="Q106" s="3"/>
      <c r="R106" s="7">
        <f t="shared" si="24"/>
        <v>2.4493576410730206E-2</v>
      </c>
      <c r="S106" s="3"/>
      <c r="T106" s="8">
        <v>5532.58</v>
      </c>
      <c r="U106" s="3"/>
      <c r="V106" s="7">
        <f t="shared" si="25"/>
        <v>2.4301167603157686E-2</v>
      </c>
      <c r="W106" s="3"/>
      <c r="X106" s="8">
        <f t="shared" si="26"/>
        <v>-131.78999999999996</v>
      </c>
      <c r="Y106" s="3"/>
      <c r="Z106" s="7">
        <f t="shared" si="27"/>
        <v>-2.3820712940436462E-2</v>
      </c>
    </row>
    <row r="107" spans="1:26" s="24" customFormat="1" hidden="1" outlineLevel="2" x14ac:dyDescent="0.3">
      <c r="A107" s="27"/>
      <c r="B107" s="12" t="str">
        <f>CONCATENATE("          ", "6119", " - ", "SICK LEAVE")</f>
        <v xml:space="preserve">          6119 - SICK LEAVE</v>
      </c>
      <c r="C107" s="12"/>
      <c r="D107" s="8">
        <v>3886.05</v>
      </c>
      <c r="E107" s="3"/>
      <c r="F107" s="7">
        <f t="shared" si="20"/>
        <v>1.7623951794259379E-2</v>
      </c>
      <c r="G107" s="3"/>
      <c r="H107" s="8">
        <v>3988.6</v>
      </c>
      <c r="I107" s="3"/>
      <c r="J107" s="7">
        <f t="shared" si="21"/>
        <v>1.7519428024891596E-2</v>
      </c>
      <c r="K107" s="3"/>
      <c r="L107" s="8">
        <f t="shared" si="22"/>
        <v>-102.54999999999973</v>
      </c>
      <c r="M107" s="3"/>
      <c r="N107" s="7">
        <f t="shared" si="23"/>
        <v>-2.5710775710775641E-2</v>
      </c>
      <c r="O107" s="12"/>
      <c r="P107" s="8">
        <v>3886.05</v>
      </c>
      <c r="Q107" s="3"/>
      <c r="R107" s="7">
        <f t="shared" si="24"/>
        <v>1.7623951794259379E-2</v>
      </c>
      <c r="S107" s="3"/>
      <c r="T107" s="8">
        <v>3988.6</v>
      </c>
      <c r="U107" s="3"/>
      <c r="V107" s="7">
        <f t="shared" si="25"/>
        <v>1.7519428024891596E-2</v>
      </c>
      <c r="W107" s="3"/>
      <c r="X107" s="8">
        <f t="shared" si="26"/>
        <v>-102.54999999999973</v>
      </c>
      <c r="Y107" s="3"/>
      <c r="Z107" s="7">
        <f t="shared" si="27"/>
        <v>-2.5710775710775641E-2</v>
      </c>
    </row>
    <row r="108" spans="1:26" s="24" customFormat="1" hidden="1" outlineLevel="2" x14ac:dyDescent="0.3">
      <c r="A108" s="27"/>
      <c r="B108" s="12" t="str">
        <f>CONCATENATE("          ", "6156", " - ", "EMPLOYEE MEALS")</f>
        <v xml:space="preserve">          6156 - EMPLOYEE MEALS</v>
      </c>
      <c r="C108" s="12"/>
      <c r="D108" s="8">
        <v>1434.99</v>
      </c>
      <c r="E108" s="3"/>
      <c r="F108" s="7">
        <f t="shared" si="20"/>
        <v>6.5079436922438642E-3</v>
      </c>
      <c r="G108" s="3"/>
      <c r="H108" s="8">
        <v>1021.4</v>
      </c>
      <c r="I108" s="3"/>
      <c r="J108" s="7">
        <f t="shared" si="21"/>
        <v>4.4863721066600495E-3</v>
      </c>
      <c r="K108" s="3"/>
      <c r="L108" s="8">
        <f t="shared" si="22"/>
        <v>413.59000000000003</v>
      </c>
      <c r="M108" s="3"/>
      <c r="N108" s="7">
        <f t="shared" si="23"/>
        <v>0.40492461327589585</v>
      </c>
      <c r="O108" s="12"/>
      <c r="P108" s="8">
        <v>1434.99</v>
      </c>
      <c r="Q108" s="3"/>
      <c r="R108" s="7">
        <f t="shared" si="24"/>
        <v>6.5079436922438642E-3</v>
      </c>
      <c r="S108" s="3"/>
      <c r="T108" s="8">
        <v>1021.4</v>
      </c>
      <c r="U108" s="3"/>
      <c r="V108" s="7">
        <f t="shared" si="25"/>
        <v>4.4863721066600495E-3</v>
      </c>
      <c r="W108" s="3"/>
      <c r="X108" s="8">
        <f t="shared" si="26"/>
        <v>413.59000000000003</v>
      </c>
      <c r="Y108" s="3"/>
      <c r="Z108" s="7">
        <f t="shared" si="27"/>
        <v>0.40492461327589585</v>
      </c>
    </row>
    <row r="109" spans="1:26" s="29" customFormat="1" outlineLevel="1" collapsed="1" x14ac:dyDescent="0.3">
      <c r="A109" s="28"/>
      <c r="B109" s="14" t="str">
        <f>CONCATENATE("     ","*Payroll                                          ")</f>
        <v xml:space="preserve">     *Payroll                                          </v>
      </c>
      <c r="C109" s="14"/>
      <c r="D109" s="1">
        <f>SUM(OSRRefD22_1x_0)</f>
        <v>166272.59000000003</v>
      </c>
      <c r="E109" s="1"/>
      <c r="F109" s="5">
        <f t="shared" ref="F109:F116" si="28">IF(D$12=0,0,D109/D$12)</f>
        <v>0.75407679027975827</v>
      </c>
      <c r="G109" s="1"/>
      <c r="H109" s="1">
        <f>SUM(OSRRefH22_1x_0)</f>
        <v>131954.59000000003</v>
      </c>
      <c r="I109" s="1"/>
      <c r="J109" s="5">
        <f t="shared" ref="J109:J116" si="29">IF(H$12=0,0,H109/H$12)</f>
        <v>0.57959407863889101</v>
      </c>
      <c r="K109" s="1"/>
      <c r="L109" s="1">
        <f t="shared" ref="L109:L116" si="30">+D109-H109</f>
        <v>34318</v>
      </c>
      <c r="M109" s="1"/>
      <c r="N109" s="5">
        <f t="shared" ref="N109:N116" si="31">IF(H109=0,0,L109/H109)</f>
        <v>0.2600743179907572</v>
      </c>
      <c r="O109" s="14"/>
      <c r="P109" s="1">
        <f>SUM(OSRRefP22_1x_0)</f>
        <v>166272.59000000003</v>
      </c>
      <c r="Q109" s="1"/>
      <c r="R109" s="5">
        <f t="shared" ref="R109:R116" si="32">IF(P$12=0,0,P109/P$12)</f>
        <v>0.75407679027975827</v>
      </c>
      <c r="S109" s="1"/>
      <c r="T109" s="1">
        <f>SUM(OSRRefT22_1x_0)</f>
        <v>131954.59000000003</v>
      </c>
      <c r="U109" s="1"/>
      <c r="V109" s="5">
        <f t="shared" ref="V109:V116" si="33">IF(T$12=0,0,T109/T$12)</f>
        <v>0.57959407863889101</v>
      </c>
      <c r="W109" s="1"/>
      <c r="X109" s="1">
        <f t="shared" ref="X109:X116" si="34">+P109-T109</f>
        <v>34318</v>
      </c>
      <c r="Y109" s="1"/>
      <c r="Z109" s="5">
        <f t="shared" ref="Z109:Z116" si="35">IF(T109=0,0,X109/T109)</f>
        <v>0.2600743179907572</v>
      </c>
    </row>
    <row r="110" spans="1:26" s="24" customFormat="1" hidden="1" outlineLevel="2" x14ac:dyDescent="0.3">
      <c r="A110" s="27"/>
      <c r="B110" s="12" t="str">
        <f>CONCATENATE("          ", "6001", " - ", "ADMINISTRATIVE SALARIES")</f>
        <v xml:space="preserve">          6001 - ADMINISTRATIVE SALARIES</v>
      </c>
      <c r="C110" s="12"/>
      <c r="D110" s="8">
        <v>5599.1</v>
      </c>
      <c r="E110" s="3"/>
      <c r="F110" s="7">
        <f t="shared" si="28"/>
        <v>2.5392948750334581E-2</v>
      </c>
      <c r="G110" s="3"/>
      <c r="H110" s="8">
        <v>4525.8500000000004</v>
      </c>
      <c r="I110" s="3"/>
      <c r="J110" s="7">
        <f t="shared" si="29"/>
        <v>1.9879231641793019E-2</v>
      </c>
      <c r="K110" s="3"/>
      <c r="L110" s="8">
        <f t="shared" si="30"/>
        <v>1073.25</v>
      </c>
      <c r="M110" s="3"/>
      <c r="N110" s="7">
        <f t="shared" si="31"/>
        <v>0.23713777522454343</v>
      </c>
      <c r="O110" s="12"/>
      <c r="P110" s="8">
        <v>5599.1</v>
      </c>
      <c r="Q110" s="3"/>
      <c r="R110" s="7">
        <f t="shared" si="32"/>
        <v>2.5392948750334581E-2</v>
      </c>
      <c r="S110" s="3"/>
      <c r="T110" s="8">
        <v>4525.8500000000004</v>
      </c>
      <c r="U110" s="3"/>
      <c r="V110" s="7">
        <f t="shared" si="33"/>
        <v>1.9879231641793019E-2</v>
      </c>
      <c r="W110" s="3"/>
      <c r="X110" s="8">
        <f t="shared" si="34"/>
        <v>1073.25</v>
      </c>
      <c r="Y110" s="3"/>
      <c r="Z110" s="7">
        <f t="shared" si="35"/>
        <v>0.23713777522454343</v>
      </c>
    </row>
    <row r="111" spans="1:26" s="24" customFormat="1" hidden="1" outlineLevel="2" x14ac:dyDescent="0.3">
      <c r="A111" s="27"/>
      <c r="B111" s="12" t="str">
        <f>CONCATENATE("          ", "6002", " - ", "STAFF SALARIES")</f>
        <v xml:space="preserve">          6002 - STAFF SALARIES</v>
      </c>
      <c r="C111" s="12"/>
      <c r="D111" s="8">
        <v>68536.740000000005</v>
      </c>
      <c r="E111" s="3"/>
      <c r="F111" s="7">
        <f t="shared" si="28"/>
        <v>0.31082672685520996</v>
      </c>
      <c r="G111" s="3"/>
      <c r="H111" s="8">
        <v>75913.429999999993</v>
      </c>
      <c r="I111" s="3"/>
      <c r="J111" s="7">
        <f t="shared" si="29"/>
        <v>0.3334402730300472</v>
      </c>
      <c r="K111" s="3"/>
      <c r="L111" s="8">
        <f t="shared" si="30"/>
        <v>-7376.6899999999878</v>
      </c>
      <c r="M111" s="3"/>
      <c r="N111" s="7">
        <f t="shared" si="31"/>
        <v>-9.7172397558640003E-2</v>
      </c>
      <c r="O111" s="12"/>
      <c r="P111" s="8">
        <v>68536.740000000005</v>
      </c>
      <c r="Q111" s="3"/>
      <c r="R111" s="7">
        <f t="shared" si="32"/>
        <v>0.31082672685520996</v>
      </c>
      <c r="S111" s="3"/>
      <c r="T111" s="8">
        <v>75913.429999999993</v>
      </c>
      <c r="U111" s="3"/>
      <c r="V111" s="7">
        <f t="shared" si="33"/>
        <v>0.3334402730300472</v>
      </c>
      <c r="W111" s="3"/>
      <c r="X111" s="8">
        <f t="shared" si="34"/>
        <v>-7376.6899999999878</v>
      </c>
      <c r="Y111" s="3"/>
      <c r="Z111" s="7">
        <f t="shared" si="35"/>
        <v>-9.7172397558640003E-2</v>
      </c>
    </row>
    <row r="112" spans="1:26" s="24" customFormat="1" hidden="1" outlineLevel="2" x14ac:dyDescent="0.3">
      <c r="A112" s="27"/>
      <c r="B112" s="12" t="str">
        <f>CONCATENATE("          ", "6004", " - ", "STAFF HOURLY")</f>
        <v xml:space="preserve">          6004 - STAFF HOURLY</v>
      </c>
      <c r="C112" s="12"/>
      <c r="D112" s="8">
        <v>18084.38</v>
      </c>
      <c r="E112" s="3"/>
      <c r="F112" s="7">
        <f t="shared" si="28"/>
        <v>8.2015990877386674E-2</v>
      </c>
      <c r="G112" s="3"/>
      <c r="H112" s="8">
        <v>15713.52</v>
      </c>
      <c r="I112" s="3"/>
      <c r="J112" s="7">
        <f t="shared" si="29"/>
        <v>6.9019676743141606E-2</v>
      </c>
      <c r="K112" s="3"/>
      <c r="L112" s="8">
        <f t="shared" si="30"/>
        <v>2370.8600000000006</v>
      </c>
      <c r="M112" s="3"/>
      <c r="N112" s="7">
        <f t="shared" si="31"/>
        <v>0.15088026107453967</v>
      </c>
      <c r="O112" s="12"/>
      <c r="P112" s="8">
        <v>18084.38</v>
      </c>
      <c r="Q112" s="3"/>
      <c r="R112" s="7">
        <f t="shared" si="32"/>
        <v>8.2015990877386674E-2</v>
      </c>
      <c r="S112" s="3"/>
      <c r="T112" s="8">
        <v>15713.52</v>
      </c>
      <c r="U112" s="3"/>
      <c r="V112" s="7">
        <f t="shared" si="33"/>
        <v>6.9019676743141606E-2</v>
      </c>
      <c r="W112" s="3"/>
      <c r="X112" s="8">
        <f t="shared" si="34"/>
        <v>2370.8600000000006</v>
      </c>
      <c r="Y112" s="3"/>
      <c r="Z112" s="7">
        <f t="shared" si="35"/>
        <v>0.15088026107453967</v>
      </c>
    </row>
    <row r="113" spans="1:26" s="24" customFormat="1" hidden="1" outlineLevel="2" x14ac:dyDescent="0.3">
      <c r="A113" s="27"/>
      <c r="B113" s="12" t="str">
        <f>CONCATENATE("          ", "6005", " - ", "TEMPORARY WAGES-HOURLY")</f>
        <v xml:space="preserve">          6005 - TEMPORARY WAGES-HOURLY</v>
      </c>
      <c r="C113" s="12"/>
      <c r="D113" s="8">
        <v>9447.7999999999993</v>
      </c>
      <c r="E113" s="3"/>
      <c r="F113" s="7">
        <f t="shared" si="28"/>
        <v>4.2847511422087661E-2</v>
      </c>
      <c r="G113" s="3"/>
      <c r="H113" s="8">
        <v>12385.55</v>
      </c>
      <c r="I113" s="3"/>
      <c r="J113" s="7">
        <f t="shared" si="29"/>
        <v>5.4401983596674544E-2</v>
      </c>
      <c r="K113" s="3"/>
      <c r="L113" s="8">
        <f t="shared" si="30"/>
        <v>-2937.75</v>
      </c>
      <c r="M113" s="3"/>
      <c r="N113" s="7">
        <f t="shared" si="31"/>
        <v>-0.23719172745659259</v>
      </c>
      <c r="O113" s="12"/>
      <c r="P113" s="8">
        <v>9447.7999999999993</v>
      </c>
      <c r="Q113" s="3"/>
      <c r="R113" s="7">
        <f t="shared" si="32"/>
        <v>4.2847511422087661E-2</v>
      </c>
      <c r="S113" s="3"/>
      <c r="T113" s="8">
        <v>12385.55</v>
      </c>
      <c r="U113" s="3"/>
      <c r="V113" s="7">
        <f t="shared" si="33"/>
        <v>5.4401983596674544E-2</v>
      </c>
      <c r="W113" s="3"/>
      <c r="X113" s="8">
        <f t="shared" si="34"/>
        <v>-2937.75</v>
      </c>
      <c r="Y113" s="3"/>
      <c r="Z113" s="7">
        <f t="shared" si="35"/>
        <v>-0.23719172745659259</v>
      </c>
    </row>
    <row r="114" spans="1:26" s="24" customFormat="1" hidden="1" outlineLevel="2" x14ac:dyDescent="0.3">
      <c r="A114" s="27"/>
      <c r="B114" s="12" t="str">
        <f>CONCATENATE("          ", "6006", " - ", "TEMPORARY PART TIME")</f>
        <v xml:space="preserve">          6006 - TEMPORARY PART TIME</v>
      </c>
      <c r="C114" s="12"/>
      <c r="D114" s="8">
        <v>2864.4</v>
      </c>
      <c r="E114" s="3"/>
      <c r="F114" s="7">
        <f t="shared" si="28"/>
        <v>1.2990581057751848E-2</v>
      </c>
      <c r="G114" s="3"/>
      <c r="H114" s="8">
        <v>2048.21</v>
      </c>
      <c r="I114" s="3"/>
      <c r="J114" s="7">
        <f t="shared" si="29"/>
        <v>8.9965069635619555E-3</v>
      </c>
      <c r="K114" s="3"/>
      <c r="L114" s="8">
        <f t="shared" si="30"/>
        <v>816.19</v>
      </c>
      <c r="M114" s="3"/>
      <c r="N114" s="7">
        <f t="shared" si="31"/>
        <v>0.3984894127067049</v>
      </c>
      <c r="O114" s="12"/>
      <c r="P114" s="8">
        <v>2864.4</v>
      </c>
      <c r="Q114" s="3"/>
      <c r="R114" s="7">
        <f t="shared" si="32"/>
        <v>1.2990581057751848E-2</v>
      </c>
      <c r="S114" s="3"/>
      <c r="T114" s="8">
        <v>2048.21</v>
      </c>
      <c r="U114" s="3"/>
      <c r="V114" s="7">
        <f t="shared" si="33"/>
        <v>8.9965069635619555E-3</v>
      </c>
      <c r="W114" s="3"/>
      <c r="X114" s="8">
        <f t="shared" si="34"/>
        <v>816.19</v>
      </c>
      <c r="Y114" s="3"/>
      <c r="Z114" s="7">
        <f t="shared" si="35"/>
        <v>0.3984894127067049</v>
      </c>
    </row>
    <row r="115" spans="1:26" s="24" customFormat="1" hidden="1" outlineLevel="2" x14ac:dyDescent="0.3">
      <c r="A115" s="27"/>
      <c r="B115" s="12" t="str">
        <f>CONCATENATE("          ", "6007", " - ", "STUDENT HOURLY")</f>
        <v xml:space="preserve">          6007 - STUDENT HOURLY</v>
      </c>
      <c r="C115" s="12"/>
      <c r="D115" s="8">
        <v>51955.82</v>
      </c>
      <c r="E115" s="3"/>
      <c r="F115" s="7">
        <f t="shared" si="28"/>
        <v>0.23562920371874199</v>
      </c>
      <c r="G115" s="3"/>
      <c r="H115" s="8">
        <v>21368.03</v>
      </c>
      <c r="I115" s="3"/>
      <c r="J115" s="7">
        <f t="shared" si="29"/>
        <v>9.3856406663672551E-2</v>
      </c>
      <c r="K115" s="3"/>
      <c r="L115" s="8">
        <f t="shared" si="30"/>
        <v>30587.79</v>
      </c>
      <c r="M115" s="3"/>
      <c r="N115" s="7">
        <f t="shared" si="31"/>
        <v>1.4314744971810691</v>
      </c>
      <c r="O115" s="12"/>
      <c r="P115" s="8">
        <v>51955.82</v>
      </c>
      <c r="Q115" s="3"/>
      <c r="R115" s="7">
        <f t="shared" si="32"/>
        <v>0.23562920371874199</v>
      </c>
      <c r="S115" s="3"/>
      <c r="T115" s="8">
        <v>21368.03</v>
      </c>
      <c r="U115" s="3"/>
      <c r="V115" s="7">
        <f t="shared" si="33"/>
        <v>9.3856406663672551E-2</v>
      </c>
      <c r="W115" s="3"/>
      <c r="X115" s="8">
        <f t="shared" si="34"/>
        <v>30587.79</v>
      </c>
      <c r="Y115" s="3"/>
      <c r="Z115" s="7">
        <f t="shared" si="35"/>
        <v>1.4314744971810691</v>
      </c>
    </row>
    <row r="116" spans="1:26" s="24" customFormat="1" hidden="1" outlineLevel="2" x14ac:dyDescent="0.3">
      <c r="A116" s="27"/>
      <c r="B116" s="12" t="str">
        <f>CONCATENATE("          ", "6008", " - ", "STUDENT HOURLY-FICA EXEMPT")</f>
        <v xml:space="preserve">          6008 - STUDENT HOURLY-FICA EXEMPT</v>
      </c>
      <c r="C116" s="12"/>
      <c r="D116" s="8">
        <v>9784.35</v>
      </c>
      <c r="E116" s="3"/>
      <c r="F116" s="7">
        <f t="shared" si="28"/>
        <v>4.4373827598245458E-2</v>
      </c>
      <c r="G116" s="3"/>
      <c r="H116" s="8"/>
      <c r="I116" s="3"/>
      <c r="J116" s="7">
        <f t="shared" si="29"/>
        <v>0</v>
      </c>
      <c r="K116" s="3"/>
      <c r="L116" s="8">
        <f t="shared" si="30"/>
        <v>9784.35</v>
      </c>
      <c r="M116" s="3"/>
      <c r="N116" s="7">
        <f t="shared" si="31"/>
        <v>0</v>
      </c>
      <c r="O116" s="12"/>
      <c r="P116" s="8">
        <v>9784.35</v>
      </c>
      <c r="Q116" s="3"/>
      <c r="R116" s="7">
        <f t="shared" si="32"/>
        <v>4.4373827598245458E-2</v>
      </c>
      <c r="S116" s="3"/>
      <c r="T116" s="8"/>
      <c r="U116" s="3"/>
      <c r="V116" s="7">
        <f t="shared" si="33"/>
        <v>0</v>
      </c>
      <c r="W116" s="3"/>
      <c r="X116" s="8">
        <f t="shared" si="34"/>
        <v>9784.35</v>
      </c>
      <c r="Y116" s="3"/>
      <c r="Z116" s="7">
        <f t="shared" si="35"/>
        <v>0</v>
      </c>
    </row>
    <row r="117" spans="1:26" s="29" customFormat="1" outlineLevel="1" collapsed="1" x14ac:dyDescent="0.3">
      <c r="A117" s="28"/>
      <c r="B117" s="14" t="str">
        <f>CONCATENATE("     ","Advertising/Promo                                 ")</f>
        <v xml:space="preserve">     Advertising/Promo                                 </v>
      </c>
      <c r="C117" s="14"/>
      <c r="D117" s="1">
        <f>SUM(OSRRefD22_2x_0)</f>
        <v>493.63</v>
      </c>
      <c r="E117" s="1"/>
      <c r="F117" s="5">
        <f t="shared" ref="F117:F125" si="36">IF(D$12=0,0,D117/D$12)</f>
        <v>2.2387028793248304E-3</v>
      </c>
      <c r="G117" s="1"/>
      <c r="H117" s="1">
        <f>SUM(OSRRefH22_2x_0)</f>
        <v>2590.83</v>
      </c>
      <c r="I117" s="1"/>
      <c r="J117" s="5">
        <f t="shared" ref="J117:J125" si="37">IF(H$12=0,0,H117/H$12)</f>
        <v>1.13798976356942E-2</v>
      </c>
      <c r="K117" s="1"/>
      <c r="L117" s="1">
        <f t="shared" ref="L117:L125" si="38">+D117-H117</f>
        <v>-2097.1999999999998</v>
      </c>
      <c r="M117" s="1"/>
      <c r="N117" s="5">
        <f t="shared" ref="N117:N125" si="39">IF(H117=0,0,L117/H117)</f>
        <v>-0.80947032418182585</v>
      </c>
      <c r="O117" s="14"/>
      <c r="P117" s="1">
        <f>SUM(OSRRefP22_2x_0)</f>
        <v>493.63</v>
      </c>
      <c r="Q117" s="1"/>
      <c r="R117" s="5">
        <f t="shared" ref="R117:R125" si="40">IF(P$12=0,0,P117/P$12)</f>
        <v>2.2387028793248304E-3</v>
      </c>
      <c r="S117" s="1"/>
      <c r="T117" s="1">
        <f>SUM(OSRRefT22_2x_0)</f>
        <v>2590.83</v>
      </c>
      <c r="U117" s="1"/>
      <c r="V117" s="5">
        <f t="shared" ref="V117:V125" si="41">IF(T$12=0,0,T117/T$12)</f>
        <v>1.13798976356942E-2</v>
      </c>
      <c r="W117" s="1"/>
      <c r="X117" s="1">
        <f t="shared" ref="X117:X125" si="42">+P117-T117</f>
        <v>-2097.1999999999998</v>
      </c>
      <c r="Y117" s="1"/>
      <c r="Z117" s="5">
        <f t="shared" ref="Z117:Z125" si="43">IF(T117=0,0,X117/T117)</f>
        <v>-0.80947032418182585</v>
      </c>
    </row>
    <row r="118" spans="1:26" s="24" customFormat="1" hidden="1" outlineLevel="2" x14ac:dyDescent="0.3">
      <c r="A118" s="27"/>
      <c r="B118" s="12" t="str">
        <f>CONCATENATE("          ", "6362", " - ", "ADVERTISING EXPENSE")</f>
        <v xml:space="preserve">          6362 - ADVERTISING EXPENSE</v>
      </c>
      <c r="C118" s="12"/>
      <c r="D118" s="8">
        <v>493.63</v>
      </c>
      <c r="E118" s="3"/>
      <c r="F118" s="7">
        <f t="shared" si="36"/>
        <v>2.2387028793248304E-3</v>
      </c>
      <c r="G118" s="3"/>
      <c r="H118" s="8">
        <v>2590.83</v>
      </c>
      <c r="I118" s="3"/>
      <c r="J118" s="7">
        <f t="shared" si="37"/>
        <v>1.13798976356942E-2</v>
      </c>
      <c r="K118" s="3"/>
      <c r="L118" s="8">
        <f t="shared" si="38"/>
        <v>-2097.1999999999998</v>
      </c>
      <c r="M118" s="3"/>
      <c r="N118" s="7">
        <f t="shared" si="39"/>
        <v>-0.80947032418182585</v>
      </c>
      <c r="O118" s="12"/>
      <c r="P118" s="8">
        <v>493.63</v>
      </c>
      <c r="Q118" s="3"/>
      <c r="R118" s="7">
        <f t="shared" si="40"/>
        <v>2.2387028793248304E-3</v>
      </c>
      <c r="S118" s="3"/>
      <c r="T118" s="8">
        <v>2590.83</v>
      </c>
      <c r="U118" s="3"/>
      <c r="V118" s="7">
        <f t="shared" si="41"/>
        <v>1.13798976356942E-2</v>
      </c>
      <c r="W118" s="3"/>
      <c r="X118" s="8">
        <f t="shared" si="42"/>
        <v>-2097.1999999999998</v>
      </c>
      <c r="Y118" s="3"/>
      <c r="Z118" s="7">
        <f t="shared" si="43"/>
        <v>-0.80947032418182585</v>
      </c>
    </row>
    <row r="119" spans="1:26" s="29" customFormat="1" outlineLevel="1" collapsed="1" x14ac:dyDescent="0.3">
      <c r="A119" s="28"/>
      <c r="B119" s="14" t="str">
        <f>CONCATENATE("     ","Bad Debts/Over/Short                              ")</f>
        <v xml:space="preserve">     Bad Debts/Over/Short                              </v>
      </c>
      <c r="C119" s="14"/>
      <c r="D119" s="1">
        <f>SUM(OSRRefD22_3x_0)</f>
        <v>1.27</v>
      </c>
      <c r="E119" s="1"/>
      <c r="F119" s="5">
        <f t="shared" si="36"/>
        <v>5.759683683614316E-6</v>
      </c>
      <c r="G119" s="1"/>
      <c r="H119" s="1">
        <f>SUM(OSRRefH22_3x_0)</f>
        <v>4.9800000000000004</v>
      </c>
      <c r="I119" s="1"/>
      <c r="J119" s="5">
        <f t="shared" si="37"/>
        <v>2.1874028873278884E-5</v>
      </c>
      <c r="K119" s="1"/>
      <c r="L119" s="1">
        <f t="shared" si="38"/>
        <v>-3.7100000000000004</v>
      </c>
      <c r="M119" s="1"/>
      <c r="N119" s="5">
        <f t="shared" si="39"/>
        <v>-0.74497991967871491</v>
      </c>
      <c r="O119" s="14"/>
      <c r="P119" s="1">
        <f>SUM(OSRRefP22_3x_0)</f>
        <v>1.27</v>
      </c>
      <c r="Q119" s="1"/>
      <c r="R119" s="5">
        <f t="shared" si="40"/>
        <v>5.759683683614316E-6</v>
      </c>
      <c r="S119" s="1"/>
      <c r="T119" s="1">
        <f>SUM(OSRRefT22_3x_0)</f>
        <v>4.9800000000000004</v>
      </c>
      <c r="U119" s="1"/>
      <c r="V119" s="5">
        <f t="shared" si="41"/>
        <v>2.1874028873278884E-5</v>
      </c>
      <c r="W119" s="1"/>
      <c r="X119" s="1">
        <f t="shared" si="42"/>
        <v>-3.7100000000000004</v>
      </c>
      <c r="Y119" s="1"/>
      <c r="Z119" s="5">
        <f t="shared" si="43"/>
        <v>-0.74497991967871491</v>
      </c>
    </row>
    <row r="120" spans="1:26" s="24" customFormat="1" hidden="1" outlineLevel="2" x14ac:dyDescent="0.3">
      <c r="A120" s="27"/>
      <c r="B120" s="12" t="str">
        <f>CONCATENATE("          ", "6272", " - ", "CASH (OVER/SHORT)")</f>
        <v xml:space="preserve">          6272 - CASH (OVER/SHORT)</v>
      </c>
      <c r="C120" s="12"/>
      <c r="D120" s="8">
        <v>1.27</v>
      </c>
      <c r="E120" s="3"/>
      <c r="F120" s="7">
        <f t="shared" si="36"/>
        <v>5.759683683614316E-6</v>
      </c>
      <c r="G120" s="3"/>
      <c r="H120" s="8">
        <v>4.9800000000000004</v>
      </c>
      <c r="I120" s="3"/>
      <c r="J120" s="7">
        <f t="shared" si="37"/>
        <v>2.1874028873278884E-5</v>
      </c>
      <c r="K120" s="3"/>
      <c r="L120" s="8">
        <f t="shared" si="38"/>
        <v>-3.7100000000000004</v>
      </c>
      <c r="M120" s="3"/>
      <c r="N120" s="7">
        <f t="shared" si="39"/>
        <v>-0.74497991967871491</v>
      </c>
      <c r="O120" s="12"/>
      <c r="P120" s="8">
        <v>1.27</v>
      </c>
      <c r="Q120" s="3"/>
      <c r="R120" s="7">
        <f t="shared" si="40"/>
        <v>5.759683683614316E-6</v>
      </c>
      <c r="S120" s="3"/>
      <c r="T120" s="8">
        <v>4.9800000000000004</v>
      </c>
      <c r="U120" s="3"/>
      <c r="V120" s="7">
        <f t="shared" si="41"/>
        <v>2.1874028873278884E-5</v>
      </c>
      <c r="W120" s="3"/>
      <c r="X120" s="8">
        <f t="shared" si="42"/>
        <v>-3.7100000000000004</v>
      </c>
      <c r="Y120" s="3"/>
      <c r="Z120" s="7">
        <f t="shared" si="43"/>
        <v>-0.74497991967871491</v>
      </c>
    </row>
    <row r="121" spans="1:26" s="29" customFormat="1" outlineLevel="1" collapsed="1" x14ac:dyDescent="0.3">
      <c r="A121" s="28"/>
      <c r="B121" s="14" t="str">
        <f>CONCATENATE("     ","Bank/card Fees                                    ")</f>
        <v xml:space="preserve">     Bank/card Fees                                    </v>
      </c>
      <c r="C121" s="14"/>
      <c r="D121" s="1">
        <f>SUM(OSRRefD22_4x_0)</f>
        <v>4037.34</v>
      </c>
      <c r="E121" s="1"/>
      <c r="F121" s="5">
        <f t="shared" si="36"/>
        <v>1.8310079782049939E-2</v>
      </c>
      <c r="G121" s="1"/>
      <c r="H121" s="1">
        <f>SUM(OSRRefH22_4x_0)</f>
        <v>3177.21</v>
      </c>
      <c r="I121" s="1"/>
      <c r="J121" s="5">
        <f t="shared" si="37"/>
        <v>1.3955498649893653E-2</v>
      </c>
      <c r="K121" s="1"/>
      <c r="L121" s="1">
        <f t="shared" si="38"/>
        <v>860.13000000000011</v>
      </c>
      <c r="M121" s="1"/>
      <c r="N121" s="5">
        <f t="shared" si="39"/>
        <v>0.27071864938106077</v>
      </c>
      <c r="O121" s="14"/>
      <c r="P121" s="1">
        <f>SUM(OSRRefP22_4x_0)</f>
        <v>4037.34</v>
      </c>
      <c r="Q121" s="1"/>
      <c r="R121" s="5">
        <f t="shared" si="40"/>
        <v>1.8310079782049939E-2</v>
      </c>
      <c r="S121" s="1"/>
      <c r="T121" s="1">
        <f>SUM(OSRRefT22_4x_0)</f>
        <v>3177.21</v>
      </c>
      <c r="U121" s="1"/>
      <c r="V121" s="5">
        <f t="shared" si="41"/>
        <v>1.3955498649893653E-2</v>
      </c>
      <c r="W121" s="1"/>
      <c r="X121" s="1">
        <f t="shared" si="42"/>
        <v>860.13000000000011</v>
      </c>
      <c r="Y121" s="1"/>
      <c r="Z121" s="5">
        <f t="shared" si="43"/>
        <v>0.27071864938106077</v>
      </c>
    </row>
    <row r="122" spans="1:26" s="24" customFormat="1" hidden="1" outlineLevel="2" x14ac:dyDescent="0.3">
      <c r="A122" s="27"/>
      <c r="B122" s="12" t="str">
        <f>CONCATENATE("          ", "6381", " - ", "BANK/CREDIT CARD FEES")</f>
        <v xml:space="preserve">          6381 - BANK/CREDIT CARD FEES</v>
      </c>
      <c r="C122" s="12"/>
      <c r="D122" s="8">
        <v>4037.34</v>
      </c>
      <c r="E122" s="3"/>
      <c r="F122" s="7">
        <f t="shared" si="36"/>
        <v>1.8310079782049939E-2</v>
      </c>
      <c r="G122" s="3"/>
      <c r="H122" s="8">
        <v>3177.21</v>
      </c>
      <c r="I122" s="3"/>
      <c r="J122" s="7">
        <f t="shared" si="37"/>
        <v>1.3955498649893653E-2</v>
      </c>
      <c r="K122" s="3"/>
      <c r="L122" s="8">
        <f t="shared" si="38"/>
        <v>860.13000000000011</v>
      </c>
      <c r="M122" s="3"/>
      <c r="N122" s="7">
        <f t="shared" si="39"/>
        <v>0.27071864938106077</v>
      </c>
      <c r="O122" s="12"/>
      <c r="P122" s="8">
        <v>4037.34</v>
      </c>
      <c r="Q122" s="3"/>
      <c r="R122" s="7">
        <f t="shared" si="40"/>
        <v>1.8310079782049939E-2</v>
      </c>
      <c r="S122" s="3"/>
      <c r="T122" s="8">
        <v>3177.21</v>
      </c>
      <c r="U122" s="3"/>
      <c r="V122" s="7">
        <f t="shared" si="41"/>
        <v>1.3955498649893653E-2</v>
      </c>
      <c r="W122" s="3"/>
      <c r="X122" s="8">
        <f t="shared" si="42"/>
        <v>860.13000000000011</v>
      </c>
      <c r="Y122" s="3"/>
      <c r="Z122" s="7">
        <f t="shared" si="43"/>
        <v>0.27071864938106077</v>
      </c>
    </row>
    <row r="123" spans="1:26" s="29" customFormat="1" outlineLevel="1" collapsed="1" x14ac:dyDescent="0.3">
      <c r="A123" s="28"/>
      <c r="B123" s="14" t="str">
        <f>CONCATENATE("     ","Depreciation                                      ")</f>
        <v xml:space="preserve">     Depreciation                                      </v>
      </c>
      <c r="C123" s="14"/>
      <c r="D123" s="1">
        <f>SUM(OSRRefD22_5x_0)</f>
        <v>37856.22</v>
      </c>
      <c r="E123" s="1"/>
      <c r="F123" s="5">
        <f t="shared" si="36"/>
        <v>0.17168492335221572</v>
      </c>
      <c r="G123" s="1"/>
      <c r="H123" s="1">
        <f>SUM(OSRRefH22_5x_0)</f>
        <v>39337.589999999997</v>
      </c>
      <c r="I123" s="1"/>
      <c r="J123" s="5">
        <f t="shared" si="37"/>
        <v>0.17278545772393705</v>
      </c>
      <c r="K123" s="1"/>
      <c r="L123" s="1">
        <f t="shared" si="38"/>
        <v>-1481.3699999999953</v>
      </c>
      <c r="M123" s="1"/>
      <c r="N123" s="5">
        <f t="shared" si="39"/>
        <v>-3.7657873804673732E-2</v>
      </c>
      <c r="O123" s="14"/>
      <c r="P123" s="1">
        <f>SUM(OSRRefP22_5x_0)</f>
        <v>37856.22</v>
      </c>
      <c r="Q123" s="1"/>
      <c r="R123" s="5">
        <f t="shared" si="40"/>
        <v>0.17168492335221572</v>
      </c>
      <c r="S123" s="1"/>
      <c r="T123" s="1">
        <f>SUM(OSRRefT22_5x_0)</f>
        <v>39337.589999999997</v>
      </c>
      <c r="U123" s="1"/>
      <c r="V123" s="5">
        <f t="shared" si="41"/>
        <v>0.17278545772393705</v>
      </c>
      <c r="W123" s="1"/>
      <c r="X123" s="1">
        <f t="shared" si="42"/>
        <v>-1481.3699999999953</v>
      </c>
      <c r="Y123" s="1"/>
      <c r="Z123" s="5">
        <f t="shared" si="43"/>
        <v>-3.7657873804673732E-2</v>
      </c>
    </row>
    <row r="124" spans="1:26" s="24" customFormat="1" hidden="1" outlineLevel="2" x14ac:dyDescent="0.3">
      <c r="A124" s="27"/>
      <c r="B124" s="12" t="str">
        <f>CONCATENATE("          ", "6321", " - ", "BUILDING DEPRECIATION")</f>
        <v xml:space="preserve">          6321 - BUILDING DEPRECIATION</v>
      </c>
      <c r="C124" s="12"/>
      <c r="D124" s="8">
        <v>21477.03</v>
      </c>
      <c r="E124" s="3"/>
      <c r="F124" s="7">
        <f t="shared" si="36"/>
        <v>9.7402282884641866E-2</v>
      </c>
      <c r="G124" s="3"/>
      <c r="H124" s="8">
        <v>21477.03</v>
      </c>
      <c r="I124" s="3"/>
      <c r="J124" s="7">
        <f t="shared" si="37"/>
        <v>9.4335175568730265E-2</v>
      </c>
      <c r="K124" s="3"/>
      <c r="L124" s="8">
        <f t="shared" si="38"/>
        <v>0</v>
      </c>
      <c r="M124" s="3"/>
      <c r="N124" s="7">
        <f t="shared" si="39"/>
        <v>0</v>
      </c>
      <c r="O124" s="12"/>
      <c r="P124" s="8">
        <v>21477.03</v>
      </c>
      <c r="Q124" s="3"/>
      <c r="R124" s="7">
        <f t="shared" si="40"/>
        <v>9.7402282884641866E-2</v>
      </c>
      <c r="S124" s="3"/>
      <c r="T124" s="8">
        <v>21477.03</v>
      </c>
      <c r="U124" s="3"/>
      <c r="V124" s="7">
        <f t="shared" si="41"/>
        <v>9.4335175568730265E-2</v>
      </c>
      <c r="W124" s="3"/>
      <c r="X124" s="8">
        <f t="shared" si="42"/>
        <v>0</v>
      </c>
      <c r="Y124" s="3"/>
      <c r="Z124" s="7">
        <f t="shared" si="43"/>
        <v>0</v>
      </c>
    </row>
    <row r="125" spans="1:26" s="24" customFormat="1" hidden="1" outlineLevel="2" x14ac:dyDescent="0.3">
      <c r="A125" s="27"/>
      <c r="B125" s="12" t="str">
        <f>CONCATENATE("          ", "6322", " - ", "EQUIPMENT DEPRECIATION EXPENSE")</f>
        <v xml:space="preserve">          6322 - EQUIPMENT DEPRECIATION EXPENSE</v>
      </c>
      <c r="C125" s="12"/>
      <c r="D125" s="8">
        <v>16379.19</v>
      </c>
      <c r="E125" s="3"/>
      <c r="F125" s="7">
        <f t="shared" si="36"/>
        <v>7.4282640467573838E-2</v>
      </c>
      <c r="G125" s="3"/>
      <c r="H125" s="8">
        <v>17860.560000000001</v>
      </c>
      <c r="I125" s="3"/>
      <c r="J125" s="7">
        <f t="shared" si="37"/>
        <v>7.8450282155206802E-2</v>
      </c>
      <c r="K125" s="3"/>
      <c r="L125" s="8">
        <f t="shared" si="38"/>
        <v>-1481.3700000000008</v>
      </c>
      <c r="M125" s="3"/>
      <c r="N125" s="7">
        <f t="shared" si="39"/>
        <v>-8.2940848439242709E-2</v>
      </c>
      <c r="O125" s="12"/>
      <c r="P125" s="8">
        <v>16379.19</v>
      </c>
      <c r="Q125" s="3"/>
      <c r="R125" s="7">
        <f t="shared" si="40"/>
        <v>7.4282640467573838E-2</v>
      </c>
      <c r="S125" s="3"/>
      <c r="T125" s="8">
        <v>17860.560000000001</v>
      </c>
      <c r="U125" s="3"/>
      <c r="V125" s="7">
        <f t="shared" si="41"/>
        <v>7.8450282155206802E-2</v>
      </c>
      <c r="W125" s="3"/>
      <c r="X125" s="8">
        <f t="shared" si="42"/>
        <v>-1481.3700000000008</v>
      </c>
      <c r="Y125" s="3"/>
      <c r="Z125" s="7">
        <f t="shared" si="43"/>
        <v>-8.2940848439242709E-2</v>
      </c>
    </row>
    <row r="126" spans="1:26" s="29" customFormat="1" outlineLevel="1" collapsed="1" x14ac:dyDescent="0.3">
      <c r="A126" s="28"/>
      <c r="B126" s="14" t="str">
        <f>CONCATENATE("     ","Discounts and Markdowns                           ")</f>
        <v xml:space="preserve">     Discounts and Markdowns                           </v>
      </c>
      <c r="C126" s="14"/>
      <c r="D126" s="1">
        <f>SUM(OSRRefD22_6x_0)</f>
        <v>-0.68</v>
      </c>
      <c r="E126" s="1"/>
      <c r="F126" s="5">
        <f t="shared" ref="F126:F128" si="44">IF(D$12=0,0,D126/D$12)</f>
        <v>-3.0839251219352245E-6</v>
      </c>
      <c r="G126" s="1"/>
      <c r="H126" s="1">
        <f>SUM(OSRRefH22_6x_0)</f>
        <v>0</v>
      </c>
      <c r="I126" s="1"/>
      <c r="J126" s="5">
        <f t="shared" ref="J126:J128" si="45">IF(H$12=0,0,H126/H$12)</f>
        <v>0</v>
      </c>
      <c r="K126" s="1"/>
      <c r="L126" s="1">
        <f t="shared" ref="L126:L128" si="46">+D126-H126</f>
        <v>-0.68</v>
      </c>
      <c r="M126" s="1"/>
      <c r="N126" s="5">
        <f t="shared" ref="N126:N128" si="47">IF(H126=0,0,L126/H126)</f>
        <v>0</v>
      </c>
      <c r="O126" s="14"/>
      <c r="P126" s="1">
        <f>SUM(OSRRefP22_6x_0)</f>
        <v>-0.68</v>
      </c>
      <c r="Q126" s="1"/>
      <c r="R126" s="5">
        <f t="shared" ref="R126:R128" si="48">IF(P$12=0,0,P126/P$12)</f>
        <v>-3.0839251219352245E-6</v>
      </c>
      <c r="S126" s="1"/>
      <c r="T126" s="1">
        <f>SUM(OSRRefT22_6x_0)</f>
        <v>0</v>
      </c>
      <c r="U126" s="1"/>
      <c r="V126" s="5">
        <f t="shared" ref="V126:V128" si="49">IF(T$12=0,0,T126/T$12)</f>
        <v>0</v>
      </c>
      <c r="W126" s="1"/>
      <c r="X126" s="1">
        <f t="shared" ref="X126:X128" si="50">+P126-T126</f>
        <v>-0.68</v>
      </c>
      <c r="Y126" s="1"/>
      <c r="Z126" s="5">
        <f t="shared" ref="Z126:Z128" si="51">IF(T126=0,0,X126/T126)</f>
        <v>0</v>
      </c>
    </row>
    <row r="127" spans="1:26" s="24" customFormat="1" hidden="1" outlineLevel="2" x14ac:dyDescent="0.3">
      <c r="A127" s="27"/>
      <c r="B127" s="12" t="str">
        <f>CONCATENATE("          ", "6382", " - ", "DISCOUNTS/MARK DOWNS")</f>
        <v xml:space="preserve">          6382 - DISCOUNTS/MARK DOWNS</v>
      </c>
      <c r="C127" s="12"/>
      <c r="D127" s="8"/>
      <c r="E127" s="3"/>
      <c r="F127" s="7">
        <f t="shared" si="44"/>
        <v>0</v>
      </c>
      <c r="G127" s="3"/>
      <c r="H127" s="8">
        <v>0</v>
      </c>
      <c r="I127" s="3"/>
      <c r="J127" s="7">
        <f t="shared" si="45"/>
        <v>0</v>
      </c>
      <c r="K127" s="3"/>
      <c r="L127" s="8">
        <f t="shared" si="46"/>
        <v>0</v>
      </c>
      <c r="M127" s="3"/>
      <c r="N127" s="7">
        <f t="shared" si="47"/>
        <v>0</v>
      </c>
      <c r="O127" s="12"/>
      <c r="P127" s="8"/>
      <c r="Q127" s="3"/>
      <c r="R127" s="7">
        <f t="shared" si="48"/>
        <v>0</v>
      </c>
      <c r="S127" s="3"/>
      <c r="T127" s="8">
        <v>0</v>
      </c>
      <c r="U127" s="3"/>
      <c r="V127" s="7">
        <f t="shared" si="49"/>
        <v>0</v>
      </c>
      <c r="W127" s="3"/>
      <c r="X127" s="8">
        <f t="shared" si="50"/>
        <v>0</v>
      </c>
      <c r="Y127" s="3"/>
      <c r="Z127" s="7">
        <f t="shared" si="51"/>
        <v>0</v>
      </c>
    </row>
    <row r="128" spans="1:26" s="24" customFormat="1" hidden="1" outlineLevel="2" x14ac:dyDescent="0.3">
      <c r="A128" s="27"/>
      <c r="B128" s="12" t="str">
        <f>CONCATENATE("          ", "9175", " - ", "EARNED DISCOUNTS")</f>
        <v xml:space="preserve">          9175 - EARNED DISCOUNTS</v>
      </c>
      <c r="C128" s="12"/>
      <c r="D128" s="8">
        <v>-0.68</v>
      </c>
      <c r="E128" s="3"/>
      <c r="F128" s="7">
        <f t="shared" si="44"/>
        <v>-3.0839251219352245E-6</v>
      </c>
      <c r="G128" s="3"/>
      <c r="H128" s="8"/>
      <c r="I128" s="3"/>
      <c r="J128" s="7">
        <f t="shared" si="45"/>
        <v>0</v>
      </c>
      <c r="K128" s="3"/>
      <c r="L128" s="8">
        <f t="shared" si="46"/>
        <v>-0.68</v>
      </c>
      <c r="M128" s="3"/>
      <c r="N128" s="7">
        <f t="shared" si="47"/>
        <v>0</v>
      </c>
      <c r="O128" s="12"/>
      <c r="P128" s="8">
        <v>-0.68</v>
      </c>
      <c r="Q128" s="3"/>
      <c r="R128" s="7">
        <f t="shared" si="48"/>
        <v>-3.0839251219352245E-6</v>
      </c>
      <c r="S128" s="3"/>
      <c r="T128" s="8"/>
      <c r="U128" s="3"/>
      <c r="V128" s="7">
        <f t="shared" si="49"/>
        <v>0</v>
      </c>
      <c r="W128" s="3"/>
      <c r="X128" s="8">
        <f t="shared" si="50"/>
        <v>-0.68</v>
      </c>
      <c r="Y128" s="3"/>
      <c r="Z128" s="7">
        <f t="shared" si="51"/>
        <v>0</v>
      </c>
    </row>
    <row r="129" spans="1:26" s="29" customFormat="1" outlineLevel="1" collapsed="1" x14ac:dyDescent="0.3">
      <c r="A129" s="28"/>
      <c r="B129" s="14" t="str">
        <f>CONCATENATE("     ","Employees' Appreciation                           ")</f>
        <v xml:space="preserve">     Employees' Appreciation                           </v>
      </c>
      <c r="C129" s="14"/>
      <c r="D129" s="1">
        <f>SUM(OSRRefD22_7x_0)</f>
        <v>537.36</v>
      </c>
      <c r="E129" s="1"/>
      <c r="F129" s="5">
        <f t="shared" ref="F129:F135" si="52">IF(D$12=0,0,D129/D$12)</f>
        <v>2.4370264757692826E-3</v>
      </c>
      <c r="G129" s="1"/>
      <c r="H129" s="1">
        <f>SUM(OSRRefH22_7x_0)</f>
        <v>107.7</v>
      </c>
      <c r="I129" s="1"/>
      <c r="J129" s="5">
        <f t="shared" ref="J129:J135" si="53">IF(H$12=0,0,H129/H$12)</f>
        <v>4.7305881719922398E-4</v>
      </c>
      <c r="K129" s="1"/>
      <c r="L129" s="1">
        <f t="shared" ref="L129:L135" si="54">+D129-H129</f>
        <v>429.66</v>
      </c>
      <c r="M129" s="1"/>
      <c r="N129" s="5">
        <f t="shared" ref="N129:N135" si="55">IF(H129=0,0,L129/H129)</f>
        <v>3.9894150417827299</v>
      </c>
      <c r="O129" s="14"/>
      <c r="P129" s="1">
        <f>SUM(OSRRefP22_7x_0)</f>
        <v>537.36</v>
      </c>
      <c r="Q129" s="1"/>
      <c r="R129" s="5">
        <f t="shared" ref="R129:R135" si="56">IF(P$12=0,0,P129/P$12)</f>
        <v>2.4370264757692826E-3</v>
      </c>
      <c r="S129" s="1"/>
      <c r="T129" s="1">
        <f>SUM(OSRRefT22_7x_0)</f>
        <v>107.7</v>
      </c>
      <c r="U129" s="1"/>
      <c r="V129" s="5">
        <f t="shared" ref="V129:V135" si="57">IF(T$12=0,0,T129/T$12)</f>
        <v>4.7305881719922398E-4</v>
      </c>
      <c r="W129" s="1"/>
      <c r="X129" s="1">
        <f t="shared" ref="X129:X135" si="58">+P129-T129</f>
        <v>429.66</v>
      </c>
      <c r="Y129" s="1"/>
      <c r="Z129" s="5">
        <f t="shared" ref="Z129:Z135" si="59">IF(T129=0,0,X129/T129)</f>
        <v>3.9894150417827299</v>
      </c>
    </row>
    <row r="130" spans="1:26" s="24" customFormat="1" hidden="1" outlineLevel="2" x14ac:dyDescent="0.3">
      <c r="A130" s="27"/>
      <c r="B130" s="12" t="str">
        <f>CONCATENATE("          ", "6277", " - ", "EMPLOYEE APPRECIATION")</f>
        <v xml:space="preserve">          6277 - EMPLOYEE APPRECIATION</v>
      </c>
      <c r="C130" s="12"/>
      <c r="D130" s="8">
        <v>537.36</v>
      </c>
      <c r="E130" s="3"/>
      <c r="F130" s="7">
        <f t="shared" si="52"/>
        <v>2.4370264757692826E-3</v>
      </c>
      <c r="G130" s="3"/>
      <c r="H130" s="8">
        <v>107.7</v>
      </c>
      <c r="I130" s="3"/>
      <c r="J130" s="7">
        <f t="shared" si="53"/>
        <v>4.7305881719922398E-4</v>
      </c>
      <c r="K130" s="3"/>
      <c r="L130" s="8">
        <f t="shared" si="54"/>
        <v>429.66</v>
      </c>
      <c r="M130" s="3"/>
      <c r="N130" s="7">
        <f t="shared" si="55"/>
        <v>3.9894150417827299</v>
      </c>
      <c r="O130" s="12"/>
      <c r="P130" s="8">
        <v>537.36</v>
      </c>
      <c r="Q130" s="3"/>
      <c r="R130" s="7">
        <f t="shared" si="56"/>
        <v>2.4370264757692826E-3</v>
      </c>
      <c r="S130" s="3"/>
      <c r="T130" s="8">
        <v>107.7</v>
      </c>
      <c r="U130" s="3"/>
      <c r="V130" s="7">
        <f t="shared" si="57"/>
        <v>4.7305881719922398E-4</v>
      </c>
      <c r="W130" s="3"/>
      <c r="X130" s="8">
        <f t="shared" si="58"/>
        <v>429.66</v>
      </c>
      <c r="Y130" s="3"/>
      <c r="Z130" s="7">
        <f t="shared" si="59"/>
        <v>3.9894150417827299</v>
      </c>
    </row>
    <row r="131" spans="1:26" s="29" customFormat="1" outlineLevel="1" collapsed="1" x14ac:dyDescent="0.3">
      <c r="A131" s="28"/>
      <c r="B131" s="14" t="str">
        <f>CONCATENATE("     ","Equipment Rental                                  ")</f>
        <v xml:space="preserve">     Equipment Rental                                  </v>
      </c>
      <c r="C131" s="14"/>
      <c r="D131" s="1">
        <f>SUM(OSRRefD22_8x_0)</f>
        <v>1388.16</v>
      </c>
      <c r="E131" s="1"/>
      <c r="F131" s="5">
        <f t="shared" si="52"/>
        <v>6.2955610253905897E-3</v>
      </c>
      <c r="G131" s="1"/>
      <c r="H131" s="1">
        <f>SUM(OSRRefH22_8x_0)</f>
        <v>1388.16</v>
      </c>
      <c r="I131" s="1"/>
      <c r="J131" s="5">
        <f t="shared" si="53"/>
        <v>6.0973196627973521E-3</v>
      </c>
      <c r="K131" s="1"/>
      <c r="L131" s="1">
        <f t="shared" si="54"/>
        <v>0</v>
      </c>
      <c r="M131" s="1"/>
      <c r="N131" s="5">
        <f t="shared" si="55"/>
        <v>0</v>
      </c>
      <c r="O131" s="14"/>
      <c r="P131" s="1">
        <f>SUM(OSRRefP22_8x_0)</f>
        <v>1388.16</v>
      </c>
      <c r="Q131" s="1"/>
      <c r="R131" s="5">
        <f t="shared" si="56"/>
        <v>6.2955610253905897E-3</v>
      </c>
      <c r="S131" s="1"/>
      <c r="T131" s="1">
        <f>SUM(OSRRefT22_8x_0)</f>
        <v>1388.16</v>
      </c>
      <c r="U131" s="1"/>
      <c r="V131" s="5">
        <f t="shared" si="57"/>
        <v>6.0973196627973521E-3</v>
      </c>
      <c r="W131" s="1"/>
      <c r="X131" s="1">
        <f t="shared" si="58"/>
        <v>0</v>
      </c>
      <c r="Y131" s="1"/>
      <c r="Z131" s="5">
        <f t="shared" si="59"/>
        <v>0</v>
      </c>
    </row>
    <row r="132" spans="1:26" s="24" customFormat="1" hidden="1" outlineLevel="2" x14ac:dyDescent="0.3">
      <c r="A132" s="27"/>
      <c r="B132" s="12" t="str">
        <f>CONCATENATE("          ", "6351", " - ", "EQUIPMENT RENTAL")</f>
        <v xml:space="preserve">          6351 - EQUIPMENT RENTAL</v>
      </c>
      <c r="C132" s="12"/>
      <c r="D132" s="8">
        <v>1388.16</v>
      </c>
      <c r="E132" s="3"/>
      <c r="F132" s="7">
        <f t="shared" si="52"/>
        <v>6.2955610253905897E-3</v>
      </c>
      <c r="G132" s="3"/>
      <c r="H132" s="8">
        <v>1388.16</v>
      </c>
      <c r="I132" s="3"/>
      <c r="J132" s="7">
        <f t="shared" si="53"/>
        <v>6.0973196627973521E-3</v>
      </c>
      <c r="K132" s="3"/>
      <c r="L132" s="8">
        <f t="shared" si="54"/>
        <v>0</v>
      </c>
      <c r="M132" s="3"/>
      <c r="N132" s="7">
        <f t="shared" si="55"/>
        <v>0</v>
      </c>
      <c r="O132" s="12"/>
      <c r="P132" s="8">
        <v>1388.16</v>
      </c>
      <c r="Q132" s="3"/>
      <c r="R132" s="7">
        <f t="shared" si="56"/>
        <v>6.2955610253905897E-3</v>
      </c>
      <c r="S132" s="3"/>
      <c r="T132" s="8">
        <v>1388.16</v>
      </c>
      <c r="U132" s="3"/>
      <c r="V132" s="7">
        <f t="shared" si="57"/>
        <v>6.0973196627973521E-3</v>
      </c>
      <c r="W132" s="3"/>
      <c r="X132" s="8">
        <f t="shared" si="58"/>
        <v>0</v>
      </c>
      <c r="Y132" s="3"/>
      <c r="Z132" s="7">
        <f t="shared" si="59"/>
        <v>0</v>
      </c>
    </row>
    <row r="133" spans="1:26" s="29" customFormat="1" outlineLevel="1" collapsed="1" x14ac:dyDescent="0.3">
      <c r="A133" s="28"/>
      <c r="B133" s="14" t="str">
        <f>CONCATENATE("     ","Freight out/Postage                               ")</f>
        <v xml:space="preserve">     Freight out/Postage                               </v>
      </c>
      <c r="C133" s="14"/>
      <c r="D133" s="1">
        <f>SUM(OSRRefD22_9x_0)</f>
        <v>3589.6099999999997</v>
      </c>
      <c r="E133" s="1"/>
      <c r="F133" s="5">
        <f t="shared" si="52"/>
        <v>1.6279541848455734E-2</v>
      </c>
      <c r="G133" s="1"/>
      <c r="H133" s="1">
        <f>SUM(OSRRefH22_9x_0)</f>
        <v>8928.65</v>
      </c>
      <c r="I133" s="1"/>
      <c r="J133" s="5">
        <f t="shared" si="53"/>
        <v>3.9217981505903908E-2</v>
      </c>
      <c r="K133" s="1"/>
      <c r="L133" s="1">
        <f t="shared" si="54"/>
        <v>-5339.04</v>
      </c>
      <c r="M133" s="1"/>
      <c r="N133" s="5">
        <f t="shared" si="55"/>
        <v>-0.59796721788848262</v>
      </c>
      <c r="O133" s="14"/>
      <c r="P133" s="1">
        <f>SUM(OSRRefP22_9x_0)</f>
        <v>3589.6099999999997</v>
      </c>
      <c r="Q133" s="1"/>
      <c r="R133" s="5">
        <f t="shared" si="56"/>
        <v>1.6279541848455734E-2</v>
      </c>
      <c r="S133" s="1"/>
      <c r="T133" s="1">
        <f>SUM(OSRRefT22_9x_0)</f>
        <v>8928.65</v>
      </c>
      <c r="U133" s="1"/>
      <c r="V133" s="5">
        <f t="shared" si="57"/>
        <v>3.9217981505903908E-2</v>
      </c>
      <c r="W133" s="1"/>
      <c r="X133" s="1">
        <f t="shared" si="58"/>
        <v>-5339.04</v>
      </c>
      <c r="Y133" s="1"/>
      <c r="Z133" s="5">
        <f t="shared" si="59"/>
        <v>-0.59796721788848262</v>
      </c>
    </row>
    <row r="134" spans="1:26" s="24" customFormat="1" hidden="1" outlineLevel="2" x14ac:dyDescent="0.3">
      <c r="A134" s="27"/>
      <c r="B134" s="12" t="str">
        <f>CONCATENATE("          ", "6305", " - ", "FREIGHT OUT")</f>
        <v xml:space="preserve">          6305 - FREIGHT OUT</v>
      </c>
      <c r="C134" s="12"/>
      <c r="D134" s="8">
        <v>10889.5</v>
      </c>
      <c r="E134" s="3"/>
      <c r="F134" s="7">
        <f t="shared" si="52"/>
        <v>4.9385886198990626E-2</v>
      </c>
      <c r="G134" s="3"/>
      <c r="H134" s="8">
        <v>12089.09</v>
      </c>
      <c r="I134" s="3"/>
      <c r="J134" s="7">
        <f t="shared" si="53"/>
        <v>5.309982002242309E-2</v>
      </c>
      <c r="K134" s="3"/>
      <c r="L134" s="8">
        <f t="shared" si="54"/>
        <v>-1199.5900000000001</v>
      </c>
      <c r="M134" s="3"/>
      <c r="N134" s="7">
        <f t="shared" si="55"/>
        <v>-9.922913966229055E-2</v>
      </c>
      <c r="O134" s="12"/>
      <c r="P134" s="8">
        <v>10889.5</v>
      </c>
      <c r="Q134" s="3"/>
      <c r="R134" s="7">
        <f t="shared" si="56"/>
        <v>4.9385886198990626E-2</v>
      </c>
      <c r="S134" s="3"/>
      <c r="T134" s="8">
        <v>12089.09</v>
      </c>
      <c r="U134" s="3"/>
      <c r="V134" s="7">
        <f t="shared" si="57"/>
        <v>5.309982002242309E-2</v>
      </c>
      <c r="W134" s="3"/>
      <c r="X134" s="8">
        <f t="shared" si="58"/>
        <v>-1199.5900000000001</v>
      </c>
      <c r="Y134" s="3"/>
      <c r="Z134" s="7">
        <f t="shared" si="59"/>
        <v>-9.922913966229055E-2</v>
      </c>
    </row>
    <row r="135" spans="1:26" s="24" customFormat="1" hidden="1" outlineLevel="2" x14ac:dyDescent="0.3">
      <c r="A135" s="27"/>
      <c r="B135" s="12" t="str">
        <f>CONCATENATE("          ", "6307", " - ", "POSTAGE")</f>
        <v xml:space="preserve">          6307 - POSTAGE</v>
      </c>
      <c r="C135" s="12"/>
      <c r="D135" s="8">
        <v>-7299.89</v>
      </c>
      <c r="E135" s="3"/>
      <c r="F135" s="7">
        <f t="shared" si="52"/>
        <v>-3.3106344350534889E-2</v>
      </c>
      <c r="G135" s="3"/>
      <c r="H135" s="8">
        <v>-3160.44</v>
      </c>
      <c r="I135" s="3"/>
      <c r="J135" s="7">
        <f t="shared" si="53"/>
        <v>-1.3881838516519179E-2</v>
      </c>
      <c r="K135" s="3"/>
      <c r="L135" s="8">
        <f t="shared" si="54"/>
        <v>-4139.4500000000007</v>
      </c>
      <c r="M135" s="3"/>
      <c r="N135" s="7">
        <f t="shared" si="55"/>
        <v>1.3097701585855137</v>
      </c>
      <c r="O135" s="12"/>
      <c r="P135" s="8">
        <v>-7299.89</v>
      </c>
      <c r="Q135" s="3"/>
      <c r="R135" s="7">
        <f t="shared" si="56"/>
        <v>-3.3106344350534889E-2</v>
      </c>
      <c r="S135" s="3"/>
      <c r="T135" s="8">
        <v>-3160.44</v>
      </c>
      <c r="U135" s="3"/>
      <c r="V135" s="7">
        <f t="shared" si="57"/>
        <v>-1.3881838516519179E-2</v>
      </c>
      <c r="W135" s="3"/>
      <c r="X135" s="8">
        <f t="shared" si="58"/>
        <v>-4139.4500000000007</v>
      </c>
      <c r="Y135" s="3"/>
      <c r="Z135" s="7">
        <f t="shared" si="59"/>
        <v>1.3097701585855137</v>
      </c>
    </row>
    <row r="136" spans="1:26" s="29" customFormat="1" outlineLevel="1" collapsed="1" x14ac:dyDescent="0.3">
      <c r="A136" s="28"/>
      <c r="B136" s="14" t="str">
        <f>CONCATENATE("     ","General                                           ")</f>
        <v xml:space="preserve">     General                                           </v>
      </c>
      <c r="C136" s="14"/>
      <c r="D136" s="1">
        <f>SUM(OSRRefD22_10x_0)</f>
        <v>778</v>
      </c>
      <c r="E136" s="1"/>
      <c r="F136" s="5">
        <f t="shared" ref="F136:F144" si="60">IF(D$12=0,0,D136/D$12)</f>
        <v>3.5283731542141241E-3</v>
      </c>
      <c r="G136" s="1"/>
      <c r="H136" s="1">
        <f>SUM(OSRRefH22_10x_0)</f>
        <v>-1810.99</v>
      </c>
      <c r="I136" s="1"/>
      <c r="J136" s="5">
        <f t="shared" ref="J136:J144" si="61">IF(H$12=0,0,H136/H$12)</f>
        <v>-7.9545477006464499E-3</v>
      </c>
      <c r="K136" s="1"/>
      <c r="L136" s="1">
        <f t="shared" ref="L136:L144" si="62">+D136-H136</f>
        <v>2588.9899999999998</v>
      </c>
      <c r="M136" s="1"/>
      <c r="N136" s="5">
        <f t="shared" ref="N136:N144" si="63">IF(H136=0,0,L136/H136)</f>
        <v>-1.4295992799518493</v>
      </c>
      <c r="O136" s="14"/>
      <c r="P136" s="1">
        <f>SUM(OSRRefP22_10x_0)</f>
        <v>778</v>
      </c>
      <c r="Q136" s="1"/>
      <c r="R136" s="5">
        <f t="shared" ref="R136:R144" si="64">IF(P$12=0,0,P136/P$12)</f>
        <v>3.5283731542141241E-3</v>
      </c>
      <c r="S136" s="1"/>
      <c r="T136" s="1">
        <f>SUM(OSRRefT22_10x_0)</f>
        <v>-1810.99</v>
      </c>
      <c r="U136" s="1"/>
      <c r="V136" s="5">
        <f t="shared" ref="V136:V144" si="65">IF(T$12=0,0,T136/T$12)</f>
        <v>-7.9545477006464499E-3</v>
      </c>
      <c r="W136" s="1"/>
      <c r="X136" s="1">
        <f t="shared" ref="X136:X144" si="66">+P136-T136</f>
        <v>2588.9899999999998</v>
      </c>
      <c r="Y136" s="1"/>
      <c r="Z136" s="5">
        <f t="shared" ref="Z136:Z144" si="67">IF(T136=0,0,X136/T136)</f>
        <v>-1.4295992799518493</v>
      </c>
    </row>
    <row r="137" spans="1:26" s="24" customFormat="1" hidden="1" outlineLevel="2" x14ac:dyDescent="0.3">
      <c r="A137" s="27"/>
      <c r="B137" s="12" t="str">
        <f>CONCATENATE("          ", "6279", " - ", "GENERAL EXPENSE")</f>
        <v xml:space="preserve">          6279 - GENERAL EXPENSE</v>
      </c>
      <c r="C137" s="12"/>
      <c r="D137" s="8">
        <v>778</v>
      </c>
      <c r="E137" s="3"/>
      <c r="F137" s="7">
        <f t="shared" si="60"/>
        <v>3.5283731542141241E-3</v>
      </c>
      <c r="G137" s="3"/>
      <c r="H137" s="8">
        <v>-1810.99</v>
      </c>
      <c r="I137" s="3"/>
      <c r="J137" s="7">
        <f t="shared" si="61"/>
        <v>-7.9545477006464499E-3</v>
      </c>
      <c r="K137" s="3"/>
      <c r="L137" s="8">
        <f t="shared" si="62"/>
        <v>2588.9899999999998</v>
      </c>
      <c r="M137" s="3"/>
      <c r="N137" s="7">
        <f t="shared" si="63"/>
        <v>-1.4295992799518493</v>
      </c>
      <c r="O137" s="12"/>
      <c r="P137" s="8">
        <v>778</v>
      </c>
      <c r="Q137" s="3"/>
      <c r="R137" s="7">
        <f t="shared" si="64"/>
        <v>3.5283731542141241E-3</v>
      </c>
      <c r="S137" s="3"/>
      <c r="T137" s="8">
        <v>-1810.99</v>
      </c>
      <c r="U137" s="3"/>
      <c r="V137" s="7">
        <f t="shared" si="65"/>
        <v>-7.9545477006464499E-3</v>
      </c>
      <c r="W137" s="3"/>
      <c r="X137" s="8">
        <f t="shared" si="66"/>
        <v>2588.9899999999998</v>
      </c>
      <c r="Y137" s="3"/>
      <c r="Z137" s="7">
        <f t="shared" si="67"/>
        <v>-1.4295992799518493</v>
      </c>
    </row>
    <row r="138" spans="1:26" s="29" customFormat="1" outlineLevel="1" collapsed="1" x14ac:dyDescent="0.3">
      <c r="A138" s="28"/>
      <c r="B138" s="14" t="str">
        <f>CONCATENATE("     ","Insurance                                         ")</f>
        <v xml:space="preserve">     Insurance                                         </v>
      </c>
      <c r="C138" s="14"/>
      <c r="D138" s="1">
        <f>SUM(OSRRefD22_11x_0)</f>
        <v>5825.58</v>
      </c>
      <c r="E138" s="1"/>
      <c r="F138" s="5">
        <f t="shared" si="60"/>
        <v>2.6420077223299122E-2</v>
      </c>
      <c r="G138" s="1"/>
      <c r="H138" s="1">
        <f>SUM(OSRRefH22_11x_0)</f>
        <v>4288.28</v>
      </c>
      <c r="I138" s="1"/>
      <c r="J138" s="5">
        <f t="shared" si="61"/>
        <v>1.8835735047530996E-2</v>
      </c>
      <c r="K138" s="1"/>
      <c r="L138" s="1">
        <f t="shared" si="62"/>
        <v>1537.3000000000002</v>
      </c>
      <c r="M138" s="1"/>
      <c r="N138" s="5">
        <f t="shared" si="63"/>
        <v>0.35848871808743837</v>
      </c>
      <c r="O138" s="14"/>
      <c r="P138" s="1">
        <f>SUM(OSRRefP22_11x_0)</f>
        <v>5825.58</v>
      </c>
      <c r="Q138" s="1"/>
      <c r="R138" s="5">
        <f t="shared" si="64"/>
        <v>2.6420077223299122E-2</v>
      </c>
      <c r="S138" s="1"/>
      <c r="T138" s="1">
        <f>SUM(OSRRefT22_11x_0)</f>
        <v>4288.28</v>
      </c>
      <c r="U138" s="1"/>
      <c r="V138" s="5">
        <f t="shared" si="65"/>
        <v>1.8835735047530996E-2</v>
      </c>
      <c r="W138" s="1"/>
      <c r="X138" s="1">
        <f t="shared" si="66"/>
        <v>1537.3000000000002</v>
      </c>
      <c r="Y138" s="1"/>
      <c r="Z138" s="5">
        <f t="shared" si="67"/>
        <v>0.35848871808743837</v>
      </c>
    </row>
    <row r="139" spans="1:26" s="24" customFormat="1" hidden="1" outlineLevel="2" x14ac:dyDescent="0.3">
      <c r="A139" s="27"/>
      <c r="B139" s="12" t="str">
        <f>CONCATENATE("          ", "6314", " - ", "LIABILITY INSURANCE")</f>
        <v xml:space="preserve">          6314 - LIABILITY INSURANCE</v>
      </c>
      <c r="C139" s="12"/>
      <c r="D139" s="8">
        <v>5825.58</v>
      </c>
      <c r="E139" s="3"/>
      <c r="F139" s="7">
        <f t="shared" si="60"/>
        <v>2.6420077223299122E-2</v>
      </c>
      <c r="G139" s="3"/>
      <c r="H139" s="8">
        <v>4288.28</v>
      </c>
      <c r="I139" s="3"/>
      <c r="J139" s="7">
        <f t="shared" si="61"/>
        <v>1.8835735047530996E-2</v>
      </c>
      <c r="K139" s="3"/>
      <c r="L139" s="8">
        <f t="shared" si="62"/>
        <v>1537.3000000000002</v>
      </c>
      <c r="M139" s="3"/>
      <c r="N139" s="7">
        <f t="shared" si="63"/>
        <v>0.35848871808743837</v>
      </c>
      <c r="O139" s="12"/>
      <c r="P139" s="8">
        <v>5825.58</v>
      </c>
      <c r="Q139" s="3"/>
      <c r="R139" s="7">
        <f t="shared" si="64"/>
        <v>2.6420077223299122E-2</v>
      </c>
      <c r="S139" s="3"/>
      <c r="T139" s="8">
        <v>4288.28</v>
      </c>
      <c r="U139" s="3"/>
      <c r="V139" s="7">
        <f t="shared" si="65"/>
        <v>1.8835735047530996E-2</v>
      </c>
      <c r="W139" s="3"/>
      <c r="X139" s="8">
        <f t="shared" si="66"/>
        <v>1537.3000000000002</v>
      </c>
      <c r="Y139" s="3"/>
      <c r="Z139" s="7">
        <f t="shared" si="67"/>
        <v>0.35848871808743837</v>
      </c>
    </row>
    <row r="140" spans="1:26" s="29" customFormat="1" outlineLevel="1" collapsed="1" x14ac:dyDescent="0.3">
      <c r="A140" s="28"/>
      <c r="B140" s="14" t="str">
        <f>CONCATENATE("     ","Interest                                          ")</f>
        <v xml:space="preserve">     Interest                                          </v>
      </c>
      <c r="C140" s="14"/>
      <c r="D140" s="1">
        <f>SUM(OSRRefD22_12x_0)</f>
        <v>3905</v>
      </c>
      <c r="E140" s="1"/>
      <c r="F140" s="5">
        <f t="shared" si="60"/>
        <v>1.770989353111331E-2</v>
      </c>
      <c r="G140" s="1"/>
      <c r="H140" s="1">
        <f>SUM(OSRRefH22_12x_0)</f>
        <v>4044</v>
      </c>
      <c r="I140" s="1"/>
      <c r="J140" s="5">
        <f t="shared" si="61"/>
        <v>1.7762765615168635E-2</v>
      </c>
      <c r="K140" s="1"/>
      <c r="L140" s="1">
        <f t="shared" si="62"/>
        <v>-139</v>
      </c>
      <c r="M140" s="1"/>
      <c r="N140" s="5">
        <f t="shared" si="63"/>
        <v>-3.4371909000989118E-2</v>
      </c>
      <c r="O140" s="14"/>
      <c r="P140" s="1">
        <f>SUM(OSRRefP22_12x_0)</f>
        <v>3905</v>
      </c>
      <c r="Q140" s="1"/>
      <c r="R140" s="5">
        <f t="shared" si="64"/>
        <v>1.770989353111331E-2</v>
      </c>
      <c r="S140" s="1"/>
      <c r="T140" s="1">
        <f>SUM(OSRRefT22_12x_0)</f>
        <v>4044</v>
      </c>
      <c r="U140" s="1"/>
      <c r="V140" s="5">
        <f t="shared" si="65"/>
        <v>1.7762765615168635E-2</v>
      </c>
      <c r="W140" s="1"/>
      <c r="X140" s="1">
        <f t="shared" si="66"/>
        <v>-139</v>
      </c>
      <c r="Y140" s="1"/>
      <c r="Z140" s="5">
        <f t="shared" si="67"/>
        <v>-3.4371909000989118E-2</v>
      </c>
    </row>
    <row r="141" spans="1:26" s="24" customFormat="1" hidden="1" outlineLevel="2" x14ac:dyDescent="0.3">
      <c r="A141" s="27"/>
      <c r="B141" s="12" t="str">
        <f>CONCATENATE("          ", "6401", " - ", "INTEREST EXPENSE")</f>
        <v xml:space="preserve">          6401 - INTEREST EXPENSE</v>
      </c>
      <c r="C141" s="12"/>
      <c r="D141" s="8">
        <v>3905</v>
      </c>
      <c r="E141" s="3"/>
      <c r="F141" s="7">
        <f t="shared" si="60"/>
        <v>1.770989353111331E-2</v>
      </c>
      <c r="G141" s="3"/>
      <c r="H141" s="8">
        <v>4044</v>
      </c>
      <c r="I141" s="3"/>
      <c r="J141" s="7">
        <f t="shared" si="61"/>
        <v>1.7762765615168635E-2</v>
      </c>
      <c r="K141" s="3"/>
      <c r="L141" s="8">
        <f t="shared" si="62"/>
        <v>-139</v>
      </c>
      <c r="M141" s="3"/>
      <c r="N141" s="7">
        <f t="shared" si="63"/>
        <v>-3.4371909000989118E-2</v>
      </c>
      <c r="O141" s="12"/>
      <c r="P141" s="8">
        <v>3905</v>
      </c>
      <c r="Q141" s="3"/>
      <c r="R141" s="7">
        <f t="shared" si="64"/>
        <v>1.770989353111331E-2</v>
      </c>
      <c r="S141" s="3"/>
      <c r="T141" s="8">
        <v>4044</v>
      </c>
      <c r="U141" s="3"/>
      <c r="V141" s="7">
        <f t="shared" si="65"/>
        <v>1.7762765615168635E-2</v>
      </c>
      <c r="W141" s="3"/>
      <c r="X141" s="8">
        <f t="shared" si="66"/>
        <v>-139</v>
      </c>
      <c r="Y141" s="3"/>
      <c r="Z141" s="7">
        <f t="shared" si="67"/>
        <v>-3.4371909000989118E-2</v>
      </c>
    </row>
    <row r="142" spans="1:26" s="29" customFormat="1" outlineLevel="1" collapsed="1" x14ac:dyDescent="0.3">
      <c r="A142" s="28"/>
      <c r="B142" s="14" t="str">
        <f>CONCATENATE("     ","Inventory Adjustment                              ")</f>
        <v xml:space="preserve">     Inventory Adjustment                              </v>
      </c>
      <c r="C142" s="14"/>
      <c r="D142" s="1">
        <f>SUM(OSRRefD22_13x_0)</f>
        <v>5100</v>
      </c>
      <c r="E142" s="1"/>
      <c r="F142" s="5">
        <f t="shared" si="60"/>
        <v>2.3129438414514182E-2</v>
      </c>
      <c r="G142" s="1"/>
      <c r="H142" s="1">
        <f>SUM(OSRRefH22_13x_0)</f>
        <v>2100</v>
      </c>
      <c r="I142" s="1"/>
      <c r="J142" s="5">
        <f t="shared" si="61"/>
        <v>9.2239880790935033E-3</v>
      </c>
      <c r="K142" s="1"/>
      <c r="L142" s="1">
        <f t="shared" si="62"/>
        <v>3000</v>
      </c>
      <c r="M142" s="1"/>
      <c r="N142" s="5">
        <f t="shared" si="63"/>
        <v>1.4285714285714286</v>
      </c>
      <c r="O142" s="14"/>
      <c r="P142" s="1">
        <f>SUM(OSRRefP22_13x_0)</f>
        <v>5100</v>
      </c>
      <c r="Q142" s="1"/>
      <c r="R142" s="5">
        <f t="shared" si="64"/>
        <v>2.3129438414514182E-2</v>
      </c>
      <c r="S142" s="1"/>
      <c r="T142" s="1">
        <f>SUM(OSRRefT22_13x_0)</f>
        <v>2100</v>
      </c>
      <c r="U142" s="1"/>
      <c r="V142" s="5">
        <f t="shared" si="65"/>
        <v>9.2239880790935033E-3</v>
      </c>
      <c r="W142" s="1"/>
      <c r="X142" s="1">
        <f t="shared" si="66"/>
        <v>3000</v>
      </c>
      <c r="Y142" s="1"/>
      <c r="Z142" s="5">
        <f t="shared" si="67"/>
        <v>1.4285714285714286</v>
      </c>
    </row>
    <row r="143" spans="1:26" s="24" customFormat="1" hidden="1" outlineLevel="2" x14ac:dyDescent="0.3">
      <c r="A143" s="27"/>
      <c r="B143" s="12" t="str">
        <f>CONCATENATE("          ", "6408", " - ", "INVENTORY ADJUSTMENT")</f>
        <v xml:space="preserve">          6408 - INVENTORY ADJUSTMENT</v>
      </c>
      <c r="C143" s="12"/>
      <c r="D143" s="8">
        <v>5100</v>
      </c>
      <c r="E143" s="3"/>
      <c r="F143" s="7">
        <f t="shared" si="60"/>
        <v>2.3129438414514182E-2</v>
      </c>
      <c r="G143" s="3"/>
      <c r="H143" s="8">
        <v>2100</v>
      </c>
      <c r="I143" s="3"/>
      <c r="J143" s="7">
        <f t="shared" si="61"/>
        <v>9.2239880790935033E-3</v>
      </c>
      <c r="K143" s="3"/>
      <c r="L143" s="8">
        <f t="shared" si="62"/>
        <v>3000</v>
      </c>
      <c r="M143" s="3"/>
      <c r="N143" s="7">
        <f t="shared" si="63"/>
        <v>1.4285714285714286</v>
      </c>
      <c r="O143" s="12"/>
      <c r="P143" s="8">
        <v>5100</v>
      </c>
      <c r="Q143" s="3"/>
      <c r="R143" s="7">
        <f t="shared" si="64"/>
        <v>2.3129438414514182E-2</v>
      </c>
      <c r="S143" s="3"/>
      <c r="T143" s="8">
        <v>2100</v>
      </c>
      <c r="U143" s="3"/>
      <c r="V143" s="7">
        <f t="shared" si="65"/>
        <v>9.2239880790935033E-3</v>
      </c>
      <c r="W143" s="3"/>
      <c r="X143" s="8">
        <f t="shared" si="66"/>
        <v>3000</v>
      </c>
      <c r="Y143" s="3"/>
      <c r="Z143" s="7">
        <f t="shared" si="67"/>
        <v>1.4285714285714286</v>
      </c>
    </row>
    <row r="144" spans="1:26" s="24" customFormat="1" hidden="1" outlineLevel="2" x14ac:dyDescent="0.3">
      <c r="A144" s="27"/>
      <c r="B144" s="12" t="str">
        <f>CONCATENATE("          ", "7741", " - ", "INV. SHRINKAGE-LOGO GIFTS")</f>
        <v xml:space="preserve">          7741 - INV. SHRINKAGE-LOGO GIFTS</v>
      </c>
      <c r="C144" s="12"/>
      <c r="D144" s="8"/>
      <c r="E144" s="3"/>
      <c r="F144" s="7">
        <f t="shared" si="60"/>
        <v>0</v>
      </c>
      <c r="G144" s="3"/>
      <c r="H144" s="8">
        <v>0</v>
      </c>
      <c r="I144" s="3"/>
      <c r="J144" s="7">
        <f t="shared" si="61"/>
        <v>0</v>
      </c>
      <c r="K144" s="3"/>
      <c r="L144" s="8">
        <f t="shared" si="62"/>
        <v>0</v>
      </c>
      <c r="M144" s="3"/>
      <c r="N144" s="7">
        <f t="shared" si="63"/>
        <v>0</v>
      </c>
      <c r="O144" s="12"/>
      <c r="P144" s="8"/>
      <c r="Q144" s="3"/>
      <c r="R144" s="7">
        <f t="shared" si="64"/>
        <v>0</v>
      </c>
      <c r="S144" s="3"/>
      <c r="T144" s="8">
        <v>0</v>
      </c>
      <c r="U144" s="3"/>
      <c r="V144" s="7">
        <f t="shared" si="65"/>
        <v>0</v>
      </c>
      <c r="W144" s="3"/>
      <c r="X144" s="8">
        <f t="shared" si="66"/>
        <v>0</v>
      </c>
      <c r="Y144" s="3"/>
      <c r="Z144" s="7">
        <f t="shared" si="67"/>
        <v>0</v>
      </c>
    </row>
    <row r="145" spans="1:26" s="29" customFormat="1" outlineLevel="1" collapsed="1" x14ac:dyDescent="0.3">
      <c r="A145" s="28"/>
      <c r="B145" s="14" t="str">
        <f>CONCATENATE("     ","Rent                                              ")</f>
        <v xml:space="preserve">     Rent                                              </v>
      </c>
      <c r="C145" s="14"/>
      <c r="D145" s="1">
        <f>SUM(OSRRefD22_14x_0)</f>
        <v>6100</v>
      </c>
      <c r="E145" s="1"/>
      <c r="F145" s="5">
        <f t="shared" ref="F145:F150" si="68">IF(D$12=0,0,D145/D$12)</f>
        <v>2.7664622417360101E-2</v>
      </c>
      <c r="G145" s="1"/>
      <c r="H145" s="1">
        <f>SUM(OSRRefH22_14x_0)</f>
        <v>6100</v>
      </c>
      <c r="I145" s="1"/>
      <c r="J145" s="5">
        <f t="shared" ref="J145:J150" si="69">IF(H$12=0,0,H145/H$12)</f>
        <v>2.679348918212875E-2</v>
      </c>
      <c r="K145" s="1"/>
      <c r="L145" s="1">
        <f t="shared" ref="L145:L150" si="70">+D145-H145</f>
        <v>0</v>
      </c>
      <c r="M145" s="1"/>
      <c r="N145" s="5">
        <f t="shared" ref="N145:N150" si="71">IF(H145=0,0,L145/H145)</f>
        <v>0</v>
      </c>
      <c r="O145" s="14"/>
      <c r="P145" s="1">
        <f>SUM(OSRRefP22_14x_0)</f>
        <v>6100</v>
      </c>
      <c r="Q145" s="1"/>
      <c r="R145" s="5">
        <f t="shared" ref="R145:R150" si="72">IF(P$12=0,0,P145/P$12)</f>
        <v>2.7664622417360101E-2</v>
      </c>
      <c r="S145" s="1"/>
      <c r="T145" s="1">
        <f>SUM(OSRRefT22_14x_0)</f>
        <v>6100</v>
      </c>
      <c r="U145" s="1"/>
      <c r="V145" s="5">
        <f t="shared" ref="V145:V150" si="73">IF(T$12=0,0,T145/T$12)</f>
        <v>2.679348918212875E-2</v>
      </c>
      <c r="W145" s="1"/>
      <c r="X145" s="1">
        <f t="shared" ref="X145:X150" si="74">+P145-T145</f>
        <v>0</v>
      </c>
      <c r="Y145" s="1"/>
      <c r="Z145" s="5">
        <f t="shared" ref="Z145:Z150" si="75">IF(T145=0,0,X145/T145)</f>
        <v>0</v>
      </c>
    </row>
    <row r="146" spans="1:26" s="24" customFormat="1" hidden="1" outlineLevel="2" x14ac:dyDescent="0.3">
      <c r="A146" s="27"/>
      <c r="B146" s="12" t="str">
        <f>CONCATENATE("          ", "6273", " - ", "RENT")</f>
        <v xml:space="preserve">          6273 - RENT</v>
      </c>
      <c r="C146" s="12"/>
      <c r="D146" s="8">
        <v>6100</v>
      </c>
      <c r="E146" s="3"/>
      <c r="F146" s="7">
        <f t="shared" si="68"/>
        <v>2.7664622417360101E-2</v>
      </c>
      <c r="G146" s="3"/>
      <c r="H146" s="8">
        <v>6100</v>
      </c>
      <c r="I146" s="3"/>
      <c r="J146" s="7">
        <f t="shared" si="69"/>
        <v>2.679348918212875E-2</v>
      </c>
      <c r="K146" s="3"/>
      <c r="L146" s="8">
        <f t="shared" si="70"/>
        <v>0</v>
      </c>
      <c r="M146" s="3"/>
      <c r="N146" s="7">
        <f t="shared" si="71"/>
        <v>0</v>
      </c>
      <c r="O146" s="12"/>
      <c r="P146" s="8">
        <v>6100</v>
      </c>
      <c r="Q146" s="3"/>
      <c r="R146" s="7">
        <f t="shared" si="72"/>
        <v>2.7664622417360101E-2</v>
      </c>
      <c r="S146" s="3"/>
      <c r="T146" s="8">
        <v>6100</v>
      </c>
      <c r="U146" s="3"/>
      <c r="V146" s="7">
        <f t="shared" si="73"/>
        <v>2.679348918212875E-2</v>
      </c>
      <c r="W146" s="3"/>
      <c r="X146" s="8">
        <f t="shared" si="74"/>
        <v>0</v>
      </c>
      <c r="Y146" s="3"/>
      <c r="Z146" s="7">
        <f t="shared" si="75"/>
        <v>0</v>
      </c>
    </row>
    <row r="147" spans="1:26" s="29" customFormat="1" outlineLevel="1" collapsed="1" x14ac:dyDescent="0.3">
      <c r="A147" s="28"/>
      <c r="B147" s="14" t="str">
        <f>CONCATENATE("     ","Repair and Maintenance                            ")</f>
        <v xml:space="preserve">     Repair and Maintenance                            </v>
      </c>
      <c r="C147" s="14"/>
      <c r="D147" s="1">
        <f>SUM(OSRRefD22_15x_0)</f>
        <v>64762.729999999996</v>
      </c>
      <c r="E147" s="1"/>
      <c r="F147" s="5">
        <f t="shared" si="68"/>
        <v>0.2937108970766294</v>
      </c>
      <c r="G147" s="1"/>
      <c r="H147" s="1">
        <f>SUM(OSRRefH22_15x_0)</f>
        <v>66461.77</v>
      </c>
      <c r="I147" s="1"/>
      <c r="J147" s="5">
        <f t="shared" si="69"/>
        <v>0.2919250353311687</v>
      </c>
      <c r="K147" s="1"/>
      <c r="L147" s="1">
        <f t="shared" si="70"/>
        <v>-1699.0400000000081</v>
      </c>
      <c r="M147" s="1"/>
      <c r="N147" s="5">
        <f t="shared" si="71"/>
        <v>-2.5564170198897923E-2</v>
      </c>
      <c r="O147" s="14"/>
      <c r="P147" s="1">
        <f>SUM(OSRRefP22_15x_0)</f>
        <v>64762.729999999996</v>
      </c>
      <c r="Q147" s="1"/>
      <c r="R147" s="5">
        <f t="shared" si="72"/>
        <v>0.2937108970766294</v>
      </c>
      <c r="S147" s="1"/>
      <c r="T147" s="1">
        <f>SUM(OSRRefT22_15x_0)</f>
        <v>66461.77</v>
      </c>
      <c r="U147" s="1"/>
      <c r="V147" s="5">
        <f t="shared" si="73"/>
        <v>0.2919250353311687</v>
      </c>
      <c r="W147" s="1"/>
      <c r="X147" s="1">
        <f t="shared" si="74"/>
        <v>-1699.0400000000081</v>
      </c>
      <c r="Y147" s="1"/>
      <c r="Z147" s="5">
        <f t="shared" si="75"/>
        <v>-2.5564170198897923E-2</v>
      </c>
    </row>
    <row r="148" spans="1:26" s="24" customFormat="1" hidden="1" outlineLevel="2" x14ac:dyDescent="0.3">
      <c r="A148" s="27"/>
      <c r="B148" s="12" t="str">
        <f>CONCATENATE("          ", "6371", " - ", "COMPUTER SOFTWARE MAINTENANCE")</f>
        <v xml:space="preserve">          6371 - COMPUTER SOFTWARE MAINTENANCE</v>
      </c>
      <c r="C148" s="12"/>
      <c r="D148" s="8">
        <v>59623.5</v>
      </c>
      <c r="E148" s="3"/>
      <c r="F148" s="7">
        <f t="shared" si="68"/>
        <v>0.27040354339368361</v>
      </c>
      <c r="G148" s="3"/>
      <c r="H148" s="8">
        <v>58428.78</v>
      </c>
      <c r="I148" s="3"/>
      <c r="J148" s="7">
        <f t="shared" si="69"/>
        <v>0.25664112866475092</v>
      </c>
      <c r="K148" s="3"/>
      <c r="L148" s="8">
        <f t="shared" si="70"/>
        <v>1194.7200000000012</v>
      </c>
      <c r="M148" s="3"/>
      <c r="N148" s="7">
        <f t="shared" si="71"/>
        <v>2.044745757142287E-2</v>
      </c>
      <c r="O148" s="12"/>
      <c r="P148" s="8">
        <v>59623.5</v>
      </c>
      <c r="Q148" s="3"/>
      <c r="R148" s="7">
        <f t="shared" si="72"/>
        <v>0.27040354339368361</v>
      </c>
      <c r="S148" s="3"/>
      <c r="T148" s="8">
        <v>58428.78</v>
      </c>
      <c r="U148" s="3"/>
      <c r="V148" s="7">
        <f t="shared" si="73"/>
        <v>0.25664112866475092</v>
      </c>
      <c r="W148" s="3"/>
      <c r="X148" s="8">
        <f t="shared" si="74"/>
        <v>1194.7200000000012</v>
      </c>
      <c r="Y148" s="3"/>
      <c r="Z148" s="7">
        <f t="shared" si="75"/>
        <v>2.044745757142287E-2</v>
      </c>
    </row>
    <row r="149" spans="1:26" s="24" customFormat="1" hidden="1" outlineLevel="2" x14ac:dyDescent="0.3">
      <c r="A149" s="27"/>
      <c r="B149" s="12" t="str">
        <f>CONCATENATE("          ", "6373", " - ", "MAINTENANCE CONTRACTS")</f>
        <v xml:space="preserve">          6373 - MAINTENANCE CONTRACTS</v>
      </c>
      <c r="C149" s="12"/>
      <c r="D149" s="8">
        <v>654.63</v>
      </c>
      <c r="E149" s="3"/>
      <c r="F149" s="7">
        <f t="shared" si="68"/>
        <v>2.9688675037830231E-3</v>
      </c>
      <c r="G149" s="3"/>
      <c r="H149" s="8">
        <v>6416.01</v>
      </c>
      <c r="I149" s="3"/>
      <c r="J149" s="7">
        <f t="shared" si="69"/>
        <v>2.8181523693021293E-2</v>
      </c>
      <c r="K149" s="3"/>
      <c r="L149" s="8">
        <f t="shared" si="70"/>
        <v>-5761.38</v>
      </c>
      <c r="M149" s="3"/>
      <c r="N149" s="7">
        <f t="shared" si="71"/>
        <v>-0.89796929867628006</v>
      </c>
      <c r="O149" s="12"/>
      <c r="P149" s="8">
        <v>654.63</v>
      </c>
      <c r="Q149" s="3"/>
      <c r="R149" s="7">
        <f t="shared" si="72"/>
        <v>2.9688675037830231E-3</v>
      </c>
      <c r="S149" s="3"/>
      <c r="T149" s="8">
        <v>6416.01</v>
      </c>
      <c r="U149" s="3"/>
      <c r="V149" s="7">
        <f t="shared" si="73"/>
        <v>2.8181523693021293E-2</v>
      </c>
      <c r="W149" s="3"/>
      <c r="X149" s="8">
        <f t="shared" si="74"/>
        <v>-5761.38</v>
      </c>
      <c r="Y149" s="3"/>
      <c r="Z149" s="7">
        <f t="shared" si="75"/>
        <v>-0.89796929867628006</v>
      </c>
    </row>
    <row r="150" spans="1:26" s="24" customFormat="1" hidden="1" outlineLevel="2" x14ac:dyDescent="0.3">
      <c r="A150" s="27"/>
      <c r="B150" s="12" t="str">
        <f>CONCATENATE("          ", "6375", " - ", "OUTSIDE REPAIRS &amp; MAINTENANCE")</f>
        <v xml:space="preserve">          6375 - OUTSIDE REPAIRS &amp; MAINTENANCE</v>
      </c>
      <c r="C150" s="12"/>
      <c r="D150" s="8">
        <v>4484.6000000000004</v>
      </c>
      <c r="E150" s="3"/>
      <c r="F150" s="7">
        <f t="shared" si="68"/>
        <v>2.0338486179162805E-2</v>
      </c>
      <c r="G150" s="3"/>
      <c r="H150" s="8">
        <v>1616.98</v>
      </c>
      <c r="I150" s="3"/>
      <c r="J150" s="7">
        <f t="shared" si="69"/>
        <v>7.1023829733964832E-3</v>
      </c>
      <c r="K150" s="3"/>
      <c r="L150" s="8">
        <f t="shared" si="70"/>
        <v>2867.6200000000003</v>
      </c>
      <c r="M150" s="3"/>
      <c r="N150" s="7">
        <f t="shared" si="71"/>
        <v>1.7734418483840246</v>
      </c>
      <c r="O150" s="12"/>
      <c r="P150" s="8">
        <v>4484.6000000000004</v>
      </c>
      <c r="Q150" s="3"/>
      <c r="R150" s="7">
        <f t="shared" si="72"/>
        <v>2.0338486179162805E-2</v>
      </c>
      <c r="S150" s="3"/>
      <c r="T150" s="8">
        <v>1616.98</v>
      </c>
      <c r="U150" s="3"/>
      <c r="V150" s="7">
        <f t="shared" si="73"/>
        <v>7.1023829733964832E-3</v>
      </c>
      <c r="W150" s="3"/>
      <c r="X150" s="8">
        <f t="shared" si="74"/>
        <v>2867.6200000000003</v>
      </c>
      <c r="Y150" s="3"/>
      <c r="Z150" s="7">
        <f t="shared" si="75"/>
        <v>1.7734418483840246</v>
      </c>
    </row>
    <row r="151" spans="1:26" s="29" customFormat="1" outlineLevel="1" collapsed="1" x14ac:dyDescent="0.3">
      <c r="A151" s="28"/>
      <c r="B151" s="14" t="str">
        <f>CONCATENATE("     ","Royalty &amp; Commissions                             ")</f>
        <v xml:space="preserve">     Royalty &amp; Commissions                             </v>
      </c>
      <c r="C151" s="14"/>
      <c r="D151" s="1">
        <f>SUM(OSRRefD22_16x_0)</f>
        <v>7355.1000000000013</v>
      </c>
      <c r="E151" s="1"/>
      <c r="F151" s="5">
        <f t="shared" ref="F151:F154" si="76">IF(D$12=0,0,D151/D$12)</f>
        <v>3.3356731859332016E-2</v>
      </c>
      <c r="G151" s="1"/>
      <c r="H151" s="1">
        <f>SUM(OSRRefH22_16x_0)</f>
        <v>10989.75</v>
      </c>
      <c r="I151" s="1"/>
      <c r="J151" s="5">
        <f t="shared" ref="J151:J154" si="77">IF(H$12=0,0,H151/H$12)</f>
        <v>4.8271106186770399E-2</v>
      </c>
      <c r="K151" s="1"/>
      <c r="L151" s="1">
        <f t="shared" ref="L151:L154" si="78">+D151-H151</f>
        <v>-3634.6499999999987</v>
      </c>
      <c r="M151" s="1"/>
      <c r="N151" s="5">
        <f t="shared" ref="N151:N154" si="79">IF(H151=0,0,L151/H151)</f>
        <v>-0.33073090834641361</v>
      </c>
      <c r="O151" s="14"/>
      <c r="P151" s="1">
        <f>SUM(OSRRefP22_16x_0)</f>
        <v>7355.1000000000013</v>
      </c>
      <c r="Q151" s="1"/>
      <c r="R151" s="5">
        <f t="shared" ref="R151:R154" si="80">IF(P$12=0,0,P151/P$12)</f>
        <v>3.3356731859332016E-2</v>
      </c>
      <c r="S151" s="1"/>
      <c r="T151" s="1">
        <f>SUM(OSRRefT22_16x_0)</f>
        <v>10989.75</v>
      </c>
      <c r="U151" s="1"/>
      <c r="V151" s="5">
        <f t="shared" ref="V151:V154" si="81">IF(T$12=0,0,T151/T$12)</f>
        <v>4.8271106186770399E-2</v>
      </c>
      <c r="W151" s="1"/>
      <c r="X151" s="1">
        <f t="shared" ref="X151:X154" si="82">+P151-T151</f>
        <v>-3634.6499999999987</v>
      </c>
      <c r="Y151" s="1"/>
      <c r="Z151" s="5">
        <f t="shared" ref="Z151:Z154" si="83">IF(T151=0,0,X151/T151)</f>
        <v>-0.33073090834641361</v>
      </c>
    </row>
    <row r="152" spans="1:26" s="24" customFormat="1" hidden="1" outlineLevel="2" x14ac:dyDescent="0.3">
      <c r="A152" s="27"/>
      <c r="B152" s="12" t="str">
        <f>CONCATENATE("          ", "6253", " - ", "ROYALTY DUE ATHLETICS-LRG")</f>
        <v xml:space="preserve">          6253 - ROYALTY DUE ATHLETICS-LRG</v>
      </c>
      <c r="C152" s="12"/>
      <c r="D152" s="8">
        <v>14376.54</v>
      </c>
      <c r="E152" s="3"/>
      <c r="F152" s="7">
        <f t="shared" si="76"/>
        <v>6.5200254224274459E-2</v>
      </c>
      <c r="G152" s="3"/>
      <c r="H152" s="8">
        <v>5672.2</v>
      </c>
      <c r="I152" s="3"/>
      <c r="J152" s="7">
        <f t="shared" si="77"/>
        <v>2.4914431039159128E-2</v>
      </c>
      <c r="K152" s="3"/>
      <c r="L152" s="8">
        <f t="shared" si="78"/>
        <v>8704.34</v>
      </c>
      <c r="M152" s="3"/>
      <c r="N152" s="7">
        <f t="shared" si="79"/>
        <v>1.5345615457847044</v>
      </c>
      <c r="O152" s="12"/>
      <c r="P152" s="8">
        <v>14376.54</v>
      </c>
      <c r="Q152" s="3"/>
      <c r="R152" s="7">
        <f t="shared" si="80"/>
        <v>6.5200254224274459E-2</v>
      </c>
      <c r="S152" s="3"/>
      <c r="T152" s="8">
        <v>5672.2</v>
      </c>
      <c r="U152" s="3"/>
      <c r="V152" s="7">
        <f t="shared" si="81"/>
        <v>2.4914431039159128E-2</v>
      </c>
      <c r="W152" s="3"/>
      <c r="X152" s="8">
        <f t="shared" si="82"/>
        <v>8704.34</v>
      </c>
      <c r="Y152" s="3"/>
      <c r="Z152" s="7">
        <f t="shared" si="83"/>
        <v>1.5345615457847044</v>
      </c>
    </row>
    <row r="153" spans="1:26" s="24" customFormat="1" hidden="1" outlineLevel="2" x14ac:dyDescent="0.3">
      <c r="A153" s="27"/>
      <c r="B153" s="12" t="str">
        <f>CONCATENATE("          ", "6254", " - ", "ROYALTY &amp; COMMISSIONS")</f>
        <v xml:space="preserve">          6254 - ROYALTY &amp; COMMISSIONS</v>
      </c>
      <c r="C153" s="12"/>
      <c r="D153" s="8">
        <v>-7027.5</v>
      </c>
      <c r="E153" s="3"/>
      <c r="F153" s="7">
        <f t="shared" si="76"/>
        <v>-3.1871005579999688E-2</v>
      </c>
      <c r="G153" s="3"/>
      <c r="H153" s="8"/>
      <c r="I153" s="3"/>
      <c r="J153" s="7">
        <f t="shared" si="77"/>
        <v>0</v>
      </c>
      <c r="K153" s="3"/>
      <c r="L153" s="8">
        <f t="shared" si="78"/>
        <v>-7027.5</v>
      </c>
      <c r="M153" s="3"/>
      <c r="N153" s="7">
        <f t="shared" si="79"/>
        <v>0</v>
      </c>
      <c r="O153" s="12"/>
      <c r="P153" s="8">
        <v>-7027.5</v>
      </c>
      <c r="Q153" s="3"/>
      <c r="R153" s="7">
        <f t="shared" si="80"/>
        <v>-3.1871005579999688E-2</v>
      </c>
      <c r="S153" s="3"/>
      <c r="T153" s="8"/>
      <c r="U153" s="3"/>
      <c r="V153" s="7">
        <f t="shared" si="81"/>
        <v>0</v>
      </c>
      <c r="W153" s="3"/>
      <c r="X153" s="8">
        <f t="shared" si="82"/>
        <v>-7027.5</v>
      </c>
      <c r="Y153" s="3"/>
      <c r="Z153" s="7">
        <f t="shared" si="83"/>
        <v>0</v>
      </c>
    </row>
    <row r="154" spans="1:26" s="24" customFormat="1" hidden="1" outlineLevel="2" x14ac:dyDescent="0.3">
      <c r="A154" s="27"/>
      <c r="B154" s="12" t="str">
        <f>CONCATENATE("          ", "6259", " - ", "ROYALTY &amp; COMMISSIONS")</f>
        <v xml:space="preserve">          6259 - ROYALTY &amp; COMMISSIONS</v>
      </c>
      <c r="C154" s="12"/>
      <c r="D154" s="8">
        <v>6.06</v>
      </c>
      <c r="E154" s="3"/>
      <c r="F154" s="7">
        <f t="shared" si="76"/>
        <v>2.748321505724626E-5</v>
      </c>
      <c r="G154" s="3"/>
      <c r="H154" s="8">
        <v>5317.55</v>
      </c>
      <c r="I154" s="3"/>
      <c r="J154" s="7">
        <f t="shared" si="77"/>
        <v>2.3356675147611267E-2</v>
      </c>
      <c r="K154" s="3"/>
      <c r="L154" s="8">
        <f t="shared" si="78"/>
        <v>-5311.49</v>
      </c>
      <c r="M154" s="3"/>
      <c r="N154" s="7">
        <f t="shared" si="79"/>
        <v>-0.99886037742945522</v>
      </c>
      <c r="O154" s="12"/>
      <c r="P154" s="8">
        <v>6.06</v>
      </c>
      <c r="Q154" s="3"/>
      <c r="R154" s="7">
        <f t="shared" si="80"/>
        <v>2.748321505724626E-5</v>
      </c>
      <c r="S154" s="3"/>
      <c r="T154" s="8">
        <v>5317.55</v>
      </c>
      <c r="U154" s="3"/>
      <c r="V154" s="7">
        <f t="shared" si="81"/>
        <v>2.3356675147611267E-2</v>
      </c>
      <c r="W154" s="3"/>
      <c r="X154" s="8">
        <f t="shared" si="82"/>
        <v>-5311.49</v>
      </c>
      <c r="Y154" s="3"/>
      <c r="Z154" s="7">
        <f t="shared" si="83"/>
        <v>-0.99886037742945522</v>
      </c>
    </row>
    <row r="155" spans="1:26" s="29" customFormat="1" outlineLevel="1" collapsed="1" x14ac:dyDescent="0.3">
      <c r="A155" s="28"/>
      <c r="B155" s="14" t="str">
        <f>CONCATENATE("     ","Services                                          ")</f>
        <v xml:space="preserve">     Services                                          </v>
      </c>
      <c r="C155" s="14"/>
      <c r="D155" s="1">
        <f>SUM(OSRRefD22_17x_0)</f>
        <v>4158.17</v>
      </c>
      <c r="E155" s="1"/>
      <c r="F155" s="5">
        <f t="shared" ref="F155:F159" si="84">IF(D$12=0,0,D155/D$12)</f>
        <v>1.885806606511381E-2</v>
      </c>
      <c r="G155" s="1"/>
      <c r="H155" s="1">
        <f>SUM(OSRRefH22_17x_0)</f>
        <v>3079.1400000000003</v>
      </c>
      <c r="I155" s="1"/>
      <c r="J155" s="5">
        <f t="shared" ref="J155:J159" si="85">IF(H$12=0,0,H155/H$12)</f>
        <v>1.3524738406599988E-2</v>
      </c>
      <c r="K155" s="1"/>
      <c r="L155" s="1">
        <f t="shared" ref="L155:L159" si="86">+D155-H155</f>
        <v>1079.0299999999997</v>
      </c>
      <c r="M155" s="1"/>
      <c r="N155" s="5">
        <f t="shared" ref="N155:N159" si="87">IF(H155=0,0,L155/H155)</f>
        <v>0.35043226355410917</v>
      </c>
      <c r="O155" s="14"/>
      <c r="P155" s="1">
        <f>SUM(OSRRefP22_17x_0)</f>
        <v>4158.17</v>
      </c>
      <c r="Q155" s="1"/>
      <c r="R155" s="5">
        <f t="shared" ref="R155:R159" si="88">IF(P$12=0,0,P155/P$12)</f>
        <v>1.885806606511381E-2</v>
      </c>
      <c r="S155" s="1"/>
      <c r="T155" s="1">
        <f>SUM(OSRRefT22_17x_0)</f>
        <v>3079.1400000000003</v>
      </c>
      <c r="U155" s="1"/>
      <c r="V155" s="5">
        <f t="shared" ref="V155:V159" si="89">IF(T$12=0,0,T155/T$12)</f>
        <v>1.3524738406599988E-2</v>
      </c>
      <c r="W155" s="1"/>
      <c r="X155" s="1">
        <f t="shared" ref="X155:X159" si="90">+P155-T155</f>
        <v>1079.0299999999997</v>
      </c>
      <c r="Y155" s="1"/>
      <c r="Z155" s="5">
        <f t="shared" ref="Z155:Z159" si="91">IF(T155=0,0,X155/T155)</f>
        <v>0.35043226355410917</v>
      </c>
    </row>
    <row r="156" spans="1:26" s="24" customFormat="1" hidden="1" outlineLevel="2" x14ac:dyDescent="0.3">
      <c r="A156" s="27"/>
      <c r="B156" s="12" t="str">
        <f>CONCATENATE("          ", "6282", " - ", "JANITORIAL/EXTERMINATOR EXPENS")</f>
        <v xml:space="preserve">          6282 - JANITORIAL/EXTERMINATOR EXPENS</v>
      </c>
      <c r="C156" s="12"/>
      <c r="D156" s="8">
        <v>151.85</v>
      </c>
      <c r="E156" s="3"/>
      <c r="F156" s="7">
        <f t="shared" si="84"/>
        <v>6.8866769083215267E-4</v>
      </c>
      <c r="G156" s="3"/>
      <c r="H156" s="8">
        <v>136.5</v>
      </c>
      <c r="I156" s="3"/>
      <c r="J156" s="7">
        <f t="shared" si="85"/>
        <v>5.9955922514107771E-4</v>
      </c>
      <c r="K156" s="3"/>
      <c r="L156" s="8">
        <f t="shared" si="86"/>
        <v>15.349999999999994</v>
      </c>
      <c r="M156" s="3"/>
      <c r="N156" s="7">
        <f t="shared" si="87"/>
        <v>0.11245421245421242</v>
      </c>
      <c r="O156" s="12"/>
      <c r="P156" s="8">
        <v>151.85</v>
      </c>
      <c r="Q156" s="3"/>
      <c r="R156" s="7">
        <f t="shared" si="88"/>
        <v>6.8866769083215267E-4</v>
      </c>
      <c r="S156" s="3"/>
      <c r="T156" s="8">
        <v>136.5</v>
      </c>
      <c r="U156" s="3"/>
      <c r="V156" s="7">
        <f t="shared" si="89"/>
        <v>5.9955922514107771E-4</v>
      </c>
      <c r="W156" s="3"/>
      <c r="X156" s="8">
        <f t="shared" si="90"/>
        <v>15.349999999999994</v>
      </c>
      <c r="Y156" s="3"/>
      <c r="Z156" s="7">
        <f t="shared" si="91"/>
        <v>0.11245421245421242</v>
      </c>
    </row>
    <row r="157" spans="1:26" s="24" customFormat="1" hidden="1" outlineLevel="2" x14ac:dyDescent="0.3">
      <c r="A157" s="27"/>
      <c r="B157" s="12" t="str">
        <f>CONCATENATE("          ", "6283", " - ", "PLANT SERVICE")</f>
        <v xml:space="preserve">          6283 - PLANT SERVICE</v>
      </c>
      <c r="C157" s="12"/>
      <c r="D157" s="8"/>
      <c r="E157" s="3"/>
      <c r="F157" s="7">
        <f t="shared" si="84"/>
        <v>0</v>
      </c>
      <c r="G157" s="3"/>
      <c r="H157" s="8">
        <v>130</v>
      </c>
      <c r="I157" s="3"/>
      <c r="J157" s="7">
        <f t="shared" si="85"/>
        <v>5.7100878584864551E-4</v>
      </c>
      <c r="K157" s="3"/>
      <c r="L157" s="8">
        <f t="shared" si="86"/>
        <v>-130</v>
      </c>
      <c r="M157" s="3"/>
      <c r="N157" s="7">
        <f t="shared" si="87"/>
        <v>-1</v>
      </c>
      <c r="O157" s="12"/>
      <c r="P157" s="8"/>
      <c r="Q157" s="3"/>
      <c r="R157" s="7">
        <f t="shared" si="88"/>
        <v>0</v>
      </c>
      <c r="S157" s="3"/>
      <c r="T157" s="8">
        <v>130</v>
      </c>
      <c r="U157" s="3"/>
      <c r="V157" s="7">
        <f t="shared" si="89"/>
        <v>5.7100878584864551E-4</v>
      </c>
      <c r="W157" s="3"/>
      <c r="X157" s="8">
        <f t="shared" si="90"/>
        <v>-130</v>
      </c>
      <c r="Y157" s="3"/>
      <c r="Z157" s="7">
        <f t="shared" si="91"/>
        <v>-1</v>
      </c>
    </row>
    <row r="158" spans="1:26" s="24" customFormat="1" hidden="1" outlineLevel="2" x14ac:dyDescent="0.3">
      <c r="A158" s="27"/>
      <c r="B158" s="12" t="str">
        <f>CONCATENATE("          ", "6284", " - ", "TRASH REMOVAL EXPENSE")</f>
        <v xml:space="preserve">          6284 - TRASH REMOVAL EXPENSE</v>
      </c>
      <c r="C158" s="12"/>
      <c r="D158" s="8">
        <v>142.57</v>
      </c>
      <c r="E158" s="3"/>
      <c r="F158" s="7">
        <f t="shared" si="84"/>
        <v>6.4658118328574251E-4</v>
      </c>
      <c r="G158" s="3"/>
      <c r="H158" s="8">
        <v>142.57</v>
      </c>
      <c r="I158" s="3"/>
      <c r="J158" s="7">
        <f t="shared" si="85"/>
        <v>6.2622094306493369E-4</v>
      </c>
      <c r="K158" s="3"/>
      <c r="L158" s="8">
        <f t="shared" si="86"/>
        <v>0</v>
      </c>
      <c r="M158" s="3"/>
      <c r="N158" s="7">
        <f t="shared" si="87"/>
        <v>0</v>
      </c>
      <c r="O158" s="12"/>
      <c r="P158" s="8">
        <v>142.57</v>
      </c>
      <c r="Q158" s="3"/>
      <c r="R158" s="7">
        <f t="shared" si="88"/>
        <v>6.4658118328574251E-4</v>
      </c>
      <c r="S158" s="3"/>
      <c r="T158" s="8">
        <v>142.57</v>
      </c>
      <c r="U158" s="3"/>
      <c r="V158" s="7">
        <f t="shared" si="89"/>
        <v>6.2622094306493369E-4</v>
      </c>
      <c r="W158" s="3"/>
      <c r="X158" s="8">
        <f t="shared" si="90"/>
        <v>0</v>
      </c>
      <c r="Y158" s="3"/>
      <c r="Z158" s="7">
        <f t="shared" si="91"/>
        <v>0</v>
      </c>
    </row>
    <row r="159" spans="1:26" s="24" customFormat="1" hidden="1" outlineLevel="2" x14ac:dyDescent="0.3">
      <c r="A159" s="27"/>
      <c r="B159" s="12" t="str">
        <f>CONCATENATE("          ", "6285", " - ", "JANITORIAL SERVICES")</f>
        <v xml:space="preserve">          6285 - JANITORIAL SERVICES</v>
      </c>
      <c r="C159" s="12"/>
      <c r="D159" s="8">
        <v>3863.75</v>
      </c>
      <c r="E159" s="3"/>
      <c r="F159" s="7">
        <f t="shared" si="84"/>
        <v>1.7522817190995917E-2</v>
      </c>
      <c r="G159" s="3"/>
      <c r="H159" s="8">
        <v>2670.07</v>
      </c>
      <c r="I159" s="3"/>
      <c r="J159" s="7">
        <f t="shared" si="85"/>
        <v>1.1727949452545331E-2</v>
      </c>
      <c r="K159" s="3"/>
      <c r="L159" s="8">
        <f t="shared" si="86"/>
        <v>1193.6799999999998</v>
      </c>
      <c r="M159" s="3"/>
      <c r="N159" s="7">
        <f t="shared" si="87"/>
        <v>0.4470594403892032</v>
      </c>
      <c r="O159" s="12"/>
      <c r="P159" s="8">
        <v>3863.75</v>
      </c>
      <c r="Q159" s="3"/>
      <c r="R159" s="7">
        <f t="shared" si="88"/>
        <v>1.7522817190995917E-2</v>
      </c>
      <c r="S159" s="3"/>
      <c r="T159" s="8">
        <v>2670.07</v>
      </c>
      <c r="U159" s="3"/>
      <c r="V159" s="7">
        <f t="shared" si="89"/>
        <v>1.1727949452545331E-2</v>
      </c>
      <c r="W159" s="3"/>
      <c r="X159" s="8">
        <f t="shared" si="90"/>
        <v>1193.6799999999998</v>
      </c>
      <c r="Y159" s="3"/>
      <c r="Z159" s="7">
        <f t="shared" si="91"/>
        <v>0.4470594403892032</v>
      </c>
    </row>
    <row r="160" spans="1:26" s="29" customFormat="1" outlineLevel="1" collapsed="1" x14ac:dyDescent="0.3">
      <c r="A160" s="28"/>
      <c r="B160" s="14" t="str">
        <f>CONCATENATE("     ","Subscriptions &amp; Dues                              ")</f>
        <v xml:space="preserve">     Subscriptions &amp; Dues                              </v>
      </c>
      <c r="C160" s="14"/>
      <c r="D160" s="1">
        <f>SUM(OSRRefD22_18x_0)</f>
        <v>68.319999999999993</v>
      </c>
      <c r="E160" s="1"/>
      <c r="F160" s="5">
        <f t="shared" ref="F160:F162" si="92">IF(D$12=0,0,D160/D$12)</f>
        <v>3.0984377107443311E-4</v>
      </c>
      <c r="G160" s="1"/>
      <c r="H160" s="1">
        <f>SUM(OSRRefH22_18x_0)</f>
        <v>365</v>
      </c>
      <c r="I160" s="1"/>
      <c r="J160" s="5">
        <f t="shared" ref="J160:J162" si="93">IF(H$12=0,0,H160/H$12)</f>
        <v>1.6032169756519661E-3</v>
      </c>
      <c r="K160" s="1"/>
      <c r="L160" s="1">
        <f t="shared" ref="L160:L162" si="94">+D160-H160</f>
        <v>-296.68</v>
      </c>
      <c r="M160" s="1"/>
      <c r="N160" s="5">
        <f t="shared" ref="N160:N162" si="95">IF(H160=0,0,L160/H160)</f>
        <v>-0.81282191780821922</v>
      </c>
      <c r="O160" s="14"/>
      <c r="P160" s="1">
        <f>SUM(OSRRefP22_18x_0)</f>
        <v>68.319999999999993</v>
      </c>
      <c r="Q160" s="1"/>
      <c r="R160" s="5">
        <f t="shared" ref="R160:R162" si="96">IF(P$12=0,0,P160/P$12)</f>
        <v>3.0984377107443311E-4</v>
      </c>
      <c r="S160" s="1"/>
      <c r="T160" s="1">
        <f>SUM(OSRRefT22_18x_0)</f>
        <v>365</v>
      </c>
      <c r="U160" s="1"/>
      <c r="V160" s="5">
        <f t="shared" ref="V160:V162" si="97">IF(T$12=0,0,T160/T$12)</f>
        <v>1.6032169756519661E-3</v>
      </c>
      <c r="W160" s="1"/>
      <c r="X160" s="1">
        <f t="shared" ref="X160:X162" si="98">+P160-T160</f>
        <v>-296.68</v>
      </c>
      <c r="Y160" s="1"/>
      <c r="Z160" s="5">
        <f t="shared" ref="Z160:Z162" si="99">IF(T160=0,0,X160/T160)</f>
        <v>-0.81282191780821922</v>
      </c>
    </row>
    <row r="161" spans="1:26" s="24" customFormat="1" hidden="1" outlineLevel="2" x14ac:dyDescent="0.3">
      <c r="A161" s="27"/>
      <c r="B161" s="12" t="str">
        <f>CONCATENATE("          ", "6258", " - ", "MEMBERSHIP DUES")</f>
        <v xml:space="preserve">          6258 - MEMBERSHIP DUES</v>
      </c>
      <c r="C161" s="12"/>
      <c r="D161" s="8">
        <v>68.319999999999993</v>
      </c>
      <c r="E161" s="3"/>
      <c r="F161" s="7">
        <f t="shared" si="92"/>
        <v>3.0984377107443311E-4</v>
      </c>
      <c r="G161" s="3"/>
      <c r="H161" s="8">
        <v>290</v>
      </c>
      <c r="I161" s="3"/>
      <c r="J161" s="7">
        <f t="shared" si="93"/>
        <v>1.2737888299700552E-3</v>
      </c>
      <c r="K161" s="3"/>
      <c r="L161" s="8">
        <f t="shared" si="94"/>
        <v>-221.68</v>
      </c>
      <c r="M161" s="3"/>
      <c r="N161" s="7">
        <f t="shared" si="95"/>
        <v>-0.76441379310344826</v>
      </c>
      <c r="O161" s="12"/>
      <c r="P161" s="8">
        <v>68.319999999999993</v>
      </c>
      <c r="Q161" s="3"/>
      <c r="R161" s="7">
        <f t="shared" si="96"/>
        <v>3.0984377107443311E-4</v>
      </c>
      <c r="S161" s="3"/>
      <c r="T161" s="8">
        <v>290</v>
      </c>
      <c r="U161" s="3"/>
      <c r="V161" s="7">
        <f t="shared" si="97"/>
        <v>1.2737888299700552E-3</v>
      </c>
      <c r="W161" s="3"/>
      <c r="X161" s="8">
        <f t="shared" si="98"/>
        <v>-221.68</v>
      </c>
      <c r="Y161" s="3"/>
      <c r="Z161" s="7">
        <f t="shared" si="99"/>
        <v>-0.76441379310344826</v>
      </c>
    </row>
    <row r="162" spans="1:26" s="24" customFormat="1" hidden="1" outlineLevel="2" x14ac:dyDescent="0.3">
      <c r="A162" s="27"/>
      <c r="B162" s="12" t="str">
        <f>CONCATENATE("          ", "6275", " - ", "SUBSCRIPTIONS")</f>
        <v xml:space="preserve">          6275 - SUBSCRIPTIONS</v>
      </c>
      <c r="C162" s="12"/>
      <c r="D162" s="8"/>
      <c r="E162" s="3"/>
      <c r="F162" s="7">
        <f t="shared" si="92"/>
        <v>0</v>
      </c>
      <c r="G162" s="3"/>
      <c r="H162" s="8">
        <v>75</v>
      </c>
      <c r="I162" s="3"/>
      <c r="J162" s="7">
        <f t="shared" si="93"/>
        <v>3.2942814568191086E-4</v>
      </c>
      <c r="K162" s="3"/>
      <c r="L162" s="8">
        <f t="shared" si="94"/>
        <v>-75</v>
      </c>
      <c r="M162" s="3"/>
      <c r="N162" s="7">
        <f t="shared" si="95"/>
        <v>-1</v>
      </c>
      <c r="O162" s="12"/>
      <c r="P162" s="8"/>
      <c r="Q162" s="3"/>
      <c r="R162" s="7">
        <f t="shared" si="96"/>
        <v>0</v>
      </c>
      <c r="S162" s="3"/>
      <c r="T162" s="8">
        <v>75</v>
      </c>
      <c r="U162" s="3"/>
      <c r="V162" s="7">
        <f t="shared" si="97"/>
        <v>3.2942814568191086E-4</v>
      </c>
      <c r="W162" s="3"/>
      <c r="X162" s="8">
        <f t="shared" si="98"/>
        <v>-75</v>
      </c>
      <c r="Y162" s="3"/>
      <c r="Z162" s="7">
        <f t="shared" si="99"/>
        <v>-1</v>
      </c>
    </row>
    <row r="163" spans="1:26" s="29" customFormat="1" outlineLevel="1" collapsed="1" x14ac:dyDescent="0.3">
      <c r="A163" s="28"/>
      <c r="B163" s="14" t="str">
        <f>CONCATENATE("     ","Supplies                                          ")</f>
        <v xml:space="preserve">     Supplies                                          </v>
      </c>
      <c r="C163" s="14"/>
      <c r="D163" s="1">
        <f>SUM(OSRRefD22_19x_0)</f>
        <v>7198.6</v>
      </c>
      <c r="E163" s="1"/>
      <c r="F163" s="5">
        <f t="shared" ref="F163:F169" si="100">IF(D$12=0,0,D163/D$12)</f>
        <v>3.2646975562886628E-2</v>
      </c>
      <c r="G163" s="1"/>
      <c r="H163" s="1">
        <f>SUM(OSRRefH22_19x_0)</f>
        <v>11727.19</v>
      </c>
      <c r="I163" s="1"/>
      <c r="J163" s="5">
        <f t="shared" ref="J163:J169" si="101">IF(H$12=0,0,H163/H$12)</f>
        <v>5.1510219410125978E-2</v>
      </c>
      <c r="K163" s="1"/>
      <c r="L163" s="1">
        <f t="shared" ref="L163:L169" si="102">+D163-H163</f>
        <v>-4528.59</v>
      </c>
      <c r="M163" s="1"/>
      <c r="N163" s="5">
        <f t="shared" ref="N163:N169" si="103">IF(H163=0,0,L163/H163)</f>
        <v>-0.38616156129473472</v>
      </c>
      <c r="O163" s="14"/>
      <c r="P163" s="1">
        <f>SUM(OSRRefP22_19x_0)</f>
        <v>7198.6</v>
      </c>
      <c r="Q163" s="1"/>
      <c r="R163" s="5">
        <f t="shared" ref="R163:R169" si="104">IF(P$12=0,0,P163/P$12)</f>
        <v>3.2646975562886628E-2</v>
      </c>
      <c r="S163" s="1"/>
      <c r="T163" s="1">
        <f>SUM(OSRRefT22_19x_0)</f>
        <v>11727.19</v>
      </c>
      <c r="U163" s="1"/>
      <c r="V163" s="5">
        <f t="shared" ref="V163:V169" si="105">IF(T$12=0,0,T163/T$12)</f>
        <v>5.1510219410125978E-2</v>
      </c>
      <c r="W163" s="1"/>
      <c r="X163" s="1">
        <f t="shared" ref="X163:X169" si="106">+P163-T163</f>
        <v>-4528.59</v>
      </c>
      <c r="Y163" s="1"/>
      <c r="Z163" s="5">
        <f t="shared" ref="Z163:Z169" si="107">IF(T163=0,0,X163/T163)</f>
        <v>-0.38616156129473472</v>
      </c>
    </row>
    <row r="164" spans="1:26" s="24" customFormat="1" hidden="1" outlineLevel="2" x14ac:dyDescent="0.3">
      <c r="A164" s="27"/>
      <c r="B164" s="12" t="str">
        <f>CONCATENATE("          ", "6235", " - ", "COVID-19 EXPENSES")</f>
        <v xml:space="preserve">          6235 - COVID-19 EXPENSES</v>
      </c>
      <c r="C164" s="12"/>
      <c r="D164" s="8">
        <v>272.22000000000003</v>
      </c>
      <c r="E164" s="3"/>
      <c r="F164" s="7">
        <f t="shared" si="100"/>
        <v>1.2345677892547158E-3</v>
      </c>
      <c r="G164" s="3"/>
      <c r="H164" s="8">
        <v>6219.38</v>
      </c>
      <c r="I164" s="3"/>
      <c r="J164" s="7">
        <f t="shared" si="101"/>
        <v>2.7317850942548835E-2</v>
      </c>
      <c r="K164" s="3"/>
      <c r="L164" s="8">
        <f t="shared" si="102"/>
        <v>-5947.16</v>
      </c>
      <c r="M164" s="3"/>
      <c r="N164" s="7">
        <f t="shared" si="103"/>
        <v>-0.95623036379832071</v>
      </c>
      <c r="O164" s="12"/>
      <c r="P164" s="8">
        <v>272.22000000000003</v>
      </c>
      <c r="Q164" s="3"/>
      <c r="R164" s="7">
        <f t="shared" si="104"/>
        <v>1.2345677892547158E-3</v>
      </c>
      <c r="S164" s="3"/>
      <c r="T164" s="8">
        <v>6219.38</v>
      </c>
      <c r="U164" s="3"/>
      <c r="V164" s="7">
        <f t="shared" si="105"/>
        <v>2.7317850942548835E-2</v>
      </c>
      <c r="W164" s="3"/>
      <c r="X164" s="8">
        <f t="shared" si="106"/>
        <v>-5947.16</v>
      </c>
      <c r="Y164" s="3"/>
      <c r="Z164" s="7">
        <f t="shared" si="107"/>
        <v>-0.95623036379832071</v>
      </c>
    </row>
    <row r="165" spans="1:26" s="24" customFormat="1" hidden="1" outlineLevel="2" x14ac:dyDescent="0.3">
      <c r="A165" s="27"/>
      <c r="B165" s="12" t="str">
        <f>CONCATENATE("          ", "6237", " - ", "JANITORIAL SUPPLIES")</f>
        <v xml:space="preserve">          6237 - JANITORIAL SUPPLIES</v>
      </c>
      <c r="C165" s="12"/>
      <c r="D165" s="8">
        <v>655.97</v>
      </c>
      <c r="E165" s="3"/>
      <c r="F165" s="7">
        <f t="shared" si="100"/>
        <v>2.9749446503468369E-3</v>
      </c>
      <c r="G165" s="3"/>
      <c r="H165" s="8">
        <v>139.31</v>
      </c>
      <c r="I165" s="3"/>
      <c r="J165" s="7">
        <f t="shared" si="101"/>
        <v>6.1190179966596006E-4</v>
      </c>
      <c r="K165" s="3"/>
      <c r="L165" s="8">
        <f t="shared" si="102"/>
        <v>516.66000000000008</v>
      </c>
      <c r="M165" s="3"/>
      <c r="N165" s="7">
        <f t="shared" si="103"/>
        <v>3.7087071997702972</v>
      </c>
      <c r="O165" s="12"/>
      <c r="P165" s="8">
        <v>655.97</v>
      </c>
      <c r="Q165" s="3"/>
      <c r="R165" s="7">
        <f t="shared" si="104"/>
        <v>2.9749446503468369E-3</v>
      </c>
      <c r="S165" s="3"/>
      <c r="T165" s="8">
        <v>139.31</v>
      </c>
      <c r="U165" s="3"/>
      <c r="V165" s="7">
        <f t="shared" si="105"/>
        <v>6.1190179966596006E-4</v>
      </c>
      <c r="W165" s="3"/>
      <c r="X165" s="8">
        <f t="shared" si="106"/>
        <v>516.66000000000008</v>
      </c>
      <c r="Y165" s="3"/>
      <c r="Z165" s="7">
        <f t="shared" si="107"/>
        <v>3.7087071997702972</v>
      </c>
    </row>
    <row r="166" spans="1:26" s="24" customFormat="1" hidden="1" outlineLevel="2" x14ac:dyDescent="0.3">
      <c r="A166" s="27"/>
      <c r="B166" s="12" t="str">
        <f>CONCATENATE("          ", "6241", " - ", "OFFICE EXPENSE")</f>
        <v xml:space="preserve">          6241 - OFFICE EXPENSE</v>
      </c>
      <c r="C166" s="12"/>
      <c r="D166" s="8">
        <v>518.65</v>
      </c>
      <c r="E166" s="3"/>
      <c r="F166" s="7">
        <f t="shared" si="100"/>
        <v>2.3521731830760352E-3</v>
      </c>
      <c r="G166" s="3"/>
      <c r="H166" s="8">
        <v>430.41</v>
      </c>
      <c r="I166" s="3"/>
      <c r="J166" s="7">
        <f t="shared" si="101"/>
        <v>1.8905222424393502E-3</v>
      </c>
      <c r="K166" s="3"/>
      <c r="L166" s="8">
        <f t="shared" si="102"/>
        <v>88.239999999999952</v>
      </c>
      <c r="M166" s="3"/>
      <c r="N166" s="7">
        <f t="shared" si="103"/>
        <v>0.205013824028252</v>
      </c>
      <c r="O166" s="12"/>
      <c r="P166" s="8">
        <v>518.65</v>
      </c>
      <c r="Q166" s="3"/>
      <c r="R166" s="7">
        <f t="shared" si="104"/>
        <v>2.3521731830760352E-3</v>
      </c>
      <c r="S166" s="3"/>
      <c r="T166" s="8">
        <v>430.41</v>
      </c>
      <c r="U166" s="3"/>
      <c r="V166" s="7">
        <f t="shared" si="105"/>
        <v>1.8905222424393502E-3</v>
      </c>
      <c r="W166" s="3"/>
      <c r="X166" s="8">
        <f t="shared" si="106"/>
        <v>88.239999999999952</v>
      </c>
      <c r="Y166" s="3"/>
      <c r="Z166" s="7">
        <f t="shared" si="107"/>
        <v>0.205013824028252</v>
      </c>
    </row>
    <row r="167" spans="1:26" s="24" customFormat="1" hidden="1" outlineLevel="2" x14ac:dyDescent="0.3">
      <c r="A167" s="27"/>
      <c r="B167" s="12" t="str">
        <f>CONCATENATE("          ", "6243", " - ", "PAPER SUPPLIES")</f>
        <v xml:space="preserve">          6243 - PAPER SUPPLIES</v>
      </c>
      <c r="C167" s="12"/>
      <c r="D167" s="8">
        <v>1649.24</v>
      </c>
      <c r="E167" s="3"/>
      <c r="F167" s="7">
        <f t="shared" si="100"/>
        <v>7.4796068648536017E-3</v>
      </c>
      <c r="G167" s="3"/>
      <c r="H167" s="8">
        <v>1080</v>
      </c>
      <c r="I167" s="3"/>
      <c r="J167" s="7">
        <f t="shared" si="101"/>
        <v>4.7437652978195161E-3</v>
      </c>
      <c r="K167" s="3"/>
      <c r="L167" s="8">
        <f t="shared" si="102"/>
        <v>569.24</v>
      </c>
      <c r="M167" s="3"/>
      <c r="N167" s="7">
        <f t="shared" si="103"/>
        <v>0.52707407407407403</v>
      </c>
      <c r="O167" s="12"/>
      <c r="P167" s="8">
        <v>1649.24</v>
      </c>
      <c r="Q167" s="3"/>
      <c r="R167" s="7">
        <f t="shared" si="104"/>
        <v>7.4796068648536017E-3</v>
      </c>
      <c r="S167" s="3"/>
      <c r="T167" s="8">
        <v>1080</v>
      </c>
      <c r="U167" s="3"/>
      <c r="V167" s="7">
        <f t="shared" si="105"/>
        <v>4.7437652978195161E-3</v>
      </c>
      <c r="W167" s="3"/>
      <c r="X167" s="8">
        <f t="shared" si="106"/>
        <v>569.24</v>
      </c>
      <c r="Y167" s="3"/>
      <c r="Z167" s="7">
        <f t="shared" si="107"/>
        <v>0.52707407407407403</v>
      </c>
    </row>
    <row r="168" spans="1:26" s="24" customFormat="1" hidden="1" outlineLevel="2" x14ac:dyDescent="0.3">
      <c r="A168" s="27"/>
      <c r="B168" s="12" t="str">
        <f>CONCATENATE("          ", "6245", " - ", "PRINTING")</f>
        <v xml:space="preserve">          6245 - PRINTING</v>
      </c>
      <c r="C168" s="12"/>
      <c r="D168" s="8">
        <v>251.64</v>
      </c>
      <c r="E168" s="3"/>
      <c r="F168" s="7">
        <f t="shared" si="100"/>
        <v>1.1412337024761467E-3</v>
      </c>
      <c r="G168" s="3"/>
      <c r="H168" s="8">
        <v>-1543.5</v>
      </c>
      <c r="I168" s="3"/>
      <c r="J168" s="7">
        <f t="shared" si="101"/>
        <v>-6.7796312381337258E-3</v>
      </c>
      <c r="K168" s="3"/>
      <c r="L168" s="8">
        <f t="shared" si="102"/>
        <v>1795.1399999999999</v>
      </c>
      <c r="M168" s="3"/>
      <c r="N168" s="7">
        <f t="shared" si="103"/>
        <v>-1.1630320699708454</v>
      </c>
      <c r="O168" s="12"/>
      <c r="P168" s="8">
        <v>251.64</v>
      </c>
      <c r="Q168" s="3"/>
      <c r="R168" s="7">
        <f t="shared" si="104"/>
        <v>1.1412337024761467E-3</v>
      </c>
      <c r="S168" s="3"/>
      <c r="T168" s="8">
        <v>-1543.5</v>
      </c>
      <c r="U168" s="3"/>
      <c r="V168" s="7">
        <f t="shared" si="105"/>
        <v>-6.7796312381337258E-3</v>
      </c>
      <c r="W168" s="3"/>
      <c r="X168" s="8">
        <f t="shared" si="106"/>
        <v>1795.1399999999999</v>
      </c>
      <c r="Y168" s="3"/>
      <c r="Z168" s="7">
        <f t="shared" si="107"/>
        <v>-1.1630320699708454</v>
      </c>
    </row>
    <row r="169" spans="1:26" s="24" customFormat="1" hidden="1" outlineLevel="2" x14ac:dyDescent="0.3">
      <c r="A169" s="27"/>
      <c r="B169" s="12" t="str">
        <f>CONCATENATE("          ", "6247", " - ", "STORE SUPPLIES")</f>
        <v xml:space="preserve">          6247 - STORE SUPPLIES</v>
      </c>
      <c r="C169" s="12"/>
      <c r="D169" s="8">
        <v>3850.88</v>
      </c>
      <c r="E169" s="3"/>
      <c r="F169" s="7">
        <f t="shared" si="100"/>
        <v>1.746444937287929E-2</v>
      </c>
      <c r="G169" s="3"/>
      <c r="H169" s="8">
        <v>5401.59</v>
      </c>
      <c r="I169" s="3"/>
      <c r="J169" s="7">
        <f t="shared" si="101"/>
        <v>2.372581036578604E-2</v>
      </c>
      <c r="K169" s="3"/>
      <c r="L169" s="8">
        <f t="shared" si="102"/>
        <v>-1550.71</v>
      </c>
      <c r="M169" s="3"/>
      <c r="N169" s="7">
        <f t="shared" si="103"/>
        <v>-0.28708398823309433</v>
      </c>
      <c r="O169" s="12"/>
      <c r="P169" s="8">
        <v>3850.88</v>
      </c>
      <c r="Q169" s="3"/>
      <c r="R169" s="7">
        <f t="shared" si="104"/>
        <v>1.746444937287929E-2</v>
      </c>
      <c r="S169" s="3"/>
      <c r="T169" s="8">
        <v>5401.59</v>
      </c>
      <c r="U169" s="3"/>
      <c r="V169" s="7">
        <f t="shared" si="105"/>
        <v>2.372581036578604E-2</v>
      </c>
      <c r="W169" s="3"/>
      <c r="X169" s="8">
        <f t="shared" si="106"/>
        <v>-1550.71</v>
      </c>
      <c r="Y169" s="3"/>
      <c r="Z169" s="7">
        <f t="shared" si="107"/>
        <v>-0.28708398823309433</v>
      </c>
    </row>
    <row r="170" spans="1:26" s="29" customFormat="1" outlineLevel="1" collapsed="1" x14ac:dyDescent="0.3">
      <c r="A170" s="28"/>
      <c r="B170" s="14" t="str">
        <f>CONCATENATE("     ","Telephone/Data Lines                              ")</f>
        <v xml:space="preserve">     Telephone/Data Lines                              </v>
      </c>
      <c r="C170" s="14"/>
      <c r="D170" s="1">
        <f>SUM(OSRRefD22_20x_0)</f>
        <v>1687.24</v>
      </c>
      <c r="E170" s="1"/>
      <c r="F170" s="5">
        <f t="shared" ref="F170:F172" si="108">IF(D$12=0,0,D170/D$12)</f>
        <v>7.6519438569617468E-3</v>
      </c>
      <c r="G170" s="1"/>
      <c r="H170" s="1">
        <f>SUM(OSRRefH22_20x_0)</f>
        <v>2762.06</v>
      </c>
      <c r="I170" s="1"/>
      <c r="J170" s="5">
        <f t="shared" ref="J170:J172" si="109">IF(H$12=0,0,H170/H$12)</f>
        <v>1.2132004054162383E-2</v>
      </c>
      <c r="K170" s="1"/>
      <c r="L170" s="1">
        <f t="shared" ref="L170:L172" si="110">+D170-H170</f>
        <v>-1074.82</v>
      </c>
      <c r="M170" s="1"/>
      <c r="N170" s="5">
        <f t="shared" ref="N170:N172" si="111">IF(H170=0,0,L170/H170)</f>
        <v>-0.38913709332889218</v>
      </c>
      <c r="O170" s="14"/>
      <c r="P170" s="1">
        <f>SUM(OSRRefP22_20x_0)</f>
        <v>1687.24</v>
      </c>
      <c r="Q170" s="1"/>
      <c r="R170" s="5">
        <f t="shared" ref="R170:R172" si="112">IF(P$12=0,0,P170/P$12)</f>
        <v>7.6519438569617468E-3</v>
      </c>
      <c r="S170" s="1"/>
      <c r="T170" s="1">
        <f>SUM(OSRRefT22_20x_0)</f>
        <v>2762.06</v>
      </c>
      <c r="U170" s="1"/>
      <c r="V170" s="5">
        <f t="shared" ref="V170:V172" si="113">IF(T$12=0,0,T170/T$12)</f>
        <v>1.2132004054162383E-2</v>
      </c>
      <c r="W170" s="1"/>
      <c r="X170" s="1">
        <f t="shared" ref="X170:X172" si="114">+P170-T170</f>
        <v>-1074.82</v>
      </c>
      <c r="Y170" s="1"/>
      <c r="Z170" s="5">
        <f t="shared" ref="Z170:Z172" si="115">IF(T170=0,0,X170/T170)</f>
        <v>-0.38913709332889218</v>
      </c>
    </row>
    <row r="171" spans="1:26" s="24" customFormat="1" hidden="1" outlineLevel="2" x14ac:dyDescent="0.3">
      <c r="A171" s="27"/>
      <c r="B171" s="12" t="str">
        <f>CONCATENATE("          ", "6303", " - ", "DATA PHONE LINES")</f>
        <v xml:space="preserve">          6303 - DATA PHONE LINES</v>
      </c>
      <c r="C171" s="12"/>
      <c r="D171" s="8">
        <v>295</v>
      </c>
      <c r="E171" s="3"/>
      <c r="F171" s="7">
        <f t="shared" si="108"/>
        <v>1.3378792808395458E-3</v>
      </c>
      <c r="G171" s="3"/>
      <c r="H171" s="8">
        <v>295</v>
      </c>
      <c r="I171" s="3"/>
      <c r="J171" s="7">
        <f t="shared" si="109"/>
        <v>1.2957507063488494E-3</v>
      </c>
      <c r="K171" s="3"/>
      <c r="L171" s="8">
        <f t="shared" si="110"/>
        <v>0</v>
      </c>
      <c r="M171" s="3"/>
      <c r="N171" s="7">
        <f t="shared" si="111"/>
        <v>0</v>
      </c>
      <c r="O171" s="12"/>
      <c r="P171" s="8">
        <v>295</v>
      </c>
      <c r="Q171" s="3"/>
      <c r="R171" s="7">
        <f t="shared" si="112"/>
        <v>1.3378792808395458E-3</v>
      </c>
      <c r="S171" s="3"/>
      <c r="T171" s="8">
        <v>295</v>
      </c>
      <c r="U171" s="3"/>
      <c r="V171" s="7">
        <f t="shared" si="113"/>
        <v>1.2957507063488494E-3</v>
      </c>
      <c r="W171" s="3"/>
      <c r="X171" s="8">
        <f t="shared" si="114"/>
        <v>0</v>
      </c>
      <c r="Y171" s="3"/>
      <c r="Z171" s="7">
        <f t="shared" si="115"/>
        <v>0</v>
      </c>
    </row>
    <row r="172" spans="1:26" s="24" customFormat="1" hidden="1" outlineLevel="2" x14ac:dyDescent="0.3">
      <c r="A172" s="27"/>
      <c r="B172" s="12" t="str">
        <f>CONCATENATE("          ", "6309", " - ", "TELEPHONE")</f>
        <v xml:space="preserve">          6309 - TELEPHONE</v>
      </c>
      <c r="C172" s="12"/>
      <c r="D172" s="8">
        <v>1392.24</v>
      </c>
      <c r="E172" s="3"/>
      <c r="F172" s="7">
        <f t="shared" si="108"/>
        <v>6.3140645761222006E-3</v>
      </c>
      <c r="G172" s="3"/>
      <c r="H172" s="8">
        <v>2467.06</v>
      </c>
      <c r="I172" s="3"/>
      <c r="J172" s="7">
        <f t="shared" si="109"/>
        <v>1.0836253347813534E-2</v>
      </c>
      <c r="K172" s="3"/>
      <c r="L172" s="8">
        <f t="shared" si="110"/>
        <v>-1074.82</v>
      </c>
      <c r="M172" s="3"/>
      <c r="N172" s="7">
        <f t="shared" si="111"/>
        <v>-0.43566836639562878</v>
      </c>
      <c r="O172" s="12"/>
      <c r="P172" s="8">
        <v>1392.24</v>
      </c>
      <c r="Q172" s="3"/>
      <c r="R172" s="7">
        <f t="shared" si="112"/>
        <v>6.3140645761222006E-3</v>
      </c>
      <c r="S172" s="3"/>
      <c r="T172" s="8">
        <v>2467.06</v>
      </c>
      <c r="U172" s="3"/>
      <c r="V172" s="7">
        <f t="shared" si="113"/>
        <v>1.0836253347813534E-2</v>
      </c>
      <c r="W172" s="3"/>
      <c r="X172" s="8">
        <f t="shared" si="114"/>
        <v>-1074.82</v>
      </c>
      <c r="Y172" s="3"/>
      <c r="Z172" s="7">
        <f t="shared" si="115"/>
        <v>-0.43566836639562878</v>
      </c>
    </row>
    <row r="173" spans="1:26" s="29" customFormat="1" outlineLevel="1" collapsed="1" x14ac:dyDescent="0.3">
      <c r="A173" s="28"/>
      <c r="B173" s="14" t="str">
        <f>CONCATENATE("     ","Training                                          ")</f>
        <v xml:space="preserve">     Training                                          </v>
      </c>
      <c r="C173" s="14"/>
      <c r="D173" s="1">
        <f>SUM(OSRRefD22_21x_0)</f>
        <v>0</v>
      </c>
      <c r="E173" s="1"/>
      <c r="F173" s="5">
        <f t="shared" ref="F173:F178" si="116">IF(D$12=0,0,D173/D$12)</f>
        <v>0</v>
      </c>
      <c r="G173" s="1"/>
      <c r="H173" s="1">
        <f>SUM(OSRRefH22_21x_0)</f>
        <v>131.63</v>
      </c>
      <c r="I173" s="1"/>
      <c r="J173" s="5">
        <f t="shared" ref="J173:J178" si="117">IF(H$12=0,0,H173/H$12)</f>
        <v>5.7816835754813238E-4</v>
      </c>
      <c r="K173" s="1"/>
      <c r="L173" s="1">
        <f t="shared" ref="L173:L178" si="118">+D173-H173</f>
        <v>-131.63</v>
      </c>
      <c r="M173" s="1"/>
      <c r="N173" s="5">
        <f t="shared" ref="N173:N178" si="119">IF(H173=0,0,L173/H173)</f>
        <v>-1</v>
      </c>
      <c r="O173" s="14"/>
      <c r="P173" s="1">
        <f>SUM(OSRRefP22_21x_0)</f>
        <v>0</v>
      </c>
      <c r="Q173" s="1"/>
      <c r="R173" s="5">
        <f t="shared" ref="R173:R178" si="120">IF(P$12=0,0,P173/P$12)</f>
        <v>0</v>
      </c>
      <c r="S173" s="1"/>
      <c r="T173" s="1">
        <f>SUM(OSRRefT22_21x_0)</f>
        <v>131.63</v>
      </c>
      <c r="U173" s="1"/>
      <c r="V173" s="5">
        <f t="shared" ref="V173:V178" si="121">IF(T$12=0,0,T173/T$12)</f>
        <v>5.7816835754813238E-4</v>
      </c>
      <c r="W173" s="1"/>
      <c r="X173" s="1">
        <f t="shared" ref="X173:X178" si="122">+P173-T173</f>
        <v>-131.63</v>
      </c>
      <c r="Y173" s="1"/>
      <c r="Z173" s="5">
        <f t="shared" ref="Z173:Z178" si="123">IF(T173=0,0,X173/T173)</f>
        <v>-1</v>
      </c>
    </row>
    <row r="174" spans="1:26" s="24" customFormat="1" hidden="1" outlineLevel="2" x14ac:dyDescent="0.3">
      <c r="A174" s="27"/>
      <c r="B174" s="12" t="str">
        <f>CONCATENATE("          ", "6376", " - ", "TRAINING")</f>
        <v xml:space="preserve">          6376 - TRAINING</v>
      </c>
      <c r="C174" s="12"/>
      <c r="D174" s="8"/>
      <c r="E174" s="3"/>
      <c r="F174" s="7">
        <f t="shared" si="116"/>
        <v>0</v>
      </c>
      <c r="G174" s="3"/>
      <c r="H174" s="8">
        <v>131.63</v>
      </c>
      <c r="I174" s="3"/>
      <c r="J174" s="7">
        <f t="shared" si="117"/>
        <v>5.7816835754813238E-4</v>
      </c>
      <c r="K174" s="3"/>
      <c r="L174" s="8">
        <f t="shared" si="118"/>
        <v>-131.63</v>
      </c>
      <c r="M174" s="3"/>
      <c r="N174" s="7">
        <f t="shared" si="119"/>
        <v>-1</v>
      </c>
      <c r="O174" s="12"/>
      <c r="P174" s="8"/>
      <c r="Q174" s="3"/>
      <c r="R174" s="7">
        <f t="shared" si="120"/>
        <v>0</v>
      </c>
      <c r="S174" s="3"/>
      <c r="T174" s="8">
        <v>131.63</v>
      </c>
      <c r="U174" s="3"/>
      <c r="V174" s="7">
        <f t="shared" si="121"/>
        <v>5.7816835754813238E-4</v>
      </c>
      <c r="W174" s="3"/>
      <c r="X174" s="8">
        <f t="shared" si="122"/>
        <v>-131.63</v>
      </c>
      <c r="Y174" s="3"/>
      <c r="Z174" s="7">
        <f t="shared" si="123"/>
        <v>-1</v>
      </c>
    </row>
    <row r="175" spans="1:26" s="29" customFormat="1" outlineLevel="1" collapsed="1" x14ac:dyDescent="0.3">
      <c r="A175" s="28"/>
      <c r="B175" s="14" t="str">
        <f>CONCATENATE("     ","Travel                                            ")</f>
        <v xml:space="preserve">     Travel                                            </v>
      </c>
      <c r="C175" s="14"/>
      <c r="D175" s="1">
        <f>SUM(OSRRefD22_22x_0)</f>
        <v>683.14</v>
      </c>
      <c r="E175" s="1"/>
      <c r="F175" s="5">
        <f t="shared" si="116"/>
        <v>3.0981655997041604E-3</v>
      </c>
      <c r="G175" s="1"/>
      <c r="H175" s="1">
        <f>SUM(OSRRefH22_22x_0)</f>
        <v>275.20999999999998</v>
      </c>
      <c r="I175" s="1"/>
      <c r="J175" s="5">
        <f t="shared" si="117"/>
        <v>1.2088255996415824E-3</v>
      </c>
      <c r="K175" s="1"/>
      <c r="L175" s="1">
        <f t="shared" si="118"/>
        <v>407.93</v>
      </c>
      <c r="M175" s="1"/>
      <c r="N175" s="5">
        <f t="shared" si="119"/>
        <v>1.4822499182442499</v>
      </c>
      <c r="O175" s="14"/>
      <c r="P175" s="1">
        <f>SUM(OSRRefP22_22x_0)</f>
        <v>683.14</v>
      </c>
      <c r="Q175" s="1"/>
      <c r="R175" s="5">
        <f t="shared" si="120"/>
        <v>3.0981655997041604E-3</v>
      </c>
      <c r="S175" s="1"/>
      <c r="T175" s="1">
        <f>SUM(OSRRefT22_22x_0)</f>
        <v>275.20999999999998</v>
      </c>
      <c r="U175" s="1"/>
      <c r="V175" s="5">
        <f t="shared" si="121"/>
        <v>1.2088255996415824E-3</v>
      </c>
      <c r="W175" s="1"/>
      <c r="X175" s="1">
        <f t="shared" si="122"/>
        <v>407.93</v>
      </c>
      <c r="Y175" s="1"/>
      <c r="Z175" s="5">
        <f t="shared" si="123"/>
        <v>1.4822499182442499</v>
      </c>
    </row>
    <row r="176" spans="1:26" s="24" customFormat="1" hidden="1" outlineLevel="2" x14ac:dyDescent="0.3">
      <c r="A176" s="27"/>
      <c r="B176" s="12" t="str">
        <f>CONCATENATE("          ", "6292", " - ", "TRAVEL/CONFERENCE")</f>
        <v xml:space="preserve">          6292 - TRAVEL/CONFERENCE</v>
      </c>
      <c r="C176" s="12"/>
      <c r="D176" s="8">
        <v>495</v>
      </c>
      <c r="E176" s="3"/>
      <c r="F176" s="7">
        <f t="shared" si="116"/>
        <v>2.2449160814087296E-3</v>
      </c>
      <c r="G176" s="3"/>
      <c r="H176" s="8">
        <v>0.16</v>
      </c>
      <c r="I176" s="3"/>
      <c r="J176" s="7">
        <f t="shared" si="117"/>
        <v>7.0278004412140989E-7</v>
      </c>
      <c r="K176" s="3"/>
      <c r="L176" s="8">
        <f t="shared" si="118"/>
        <v>494.84</v>
      </c>
      <c r="M176" s="3"/>
      <c r="N176" s="7">
        <f t="shared" si="119"/>
        <v>3092.75</v>
      </c>
      <c r="O176" s="12"/>
      <c r="P176" s="8">
        <v>495</v>
      </c>
      <c r="Q176" s="3"/>
      <c r="R176" s="7">
        <f t="shared" si="120"/>
        <v>2.2449160814087296E-3</v>
      </c>
      <c r="S176" s="3"/>
      <c r="T176" s="8">
        <v>0.16</v>
      </c>
      <c r="U176" s="3"/>
      <c r="V176" s="7">
        <f t="shared" si="121"/>
        <v>7.0278004412140989E-7</v>
      </c>
      <c r="W176" s="3"/>
      <c r="X176" s="8">
        <f t="shared" si="122"/>
        <v>494.84</v>
      </c>
      <c r="Y176" s="3"/>
      <c r="Z176" s="7">
        <f t="shared" si="123"/>
        <v>3092.75</v>
      </c>
    </row>
    <row r="177" spans="1:26" s="24" customFormat="1" hidden="1" outlineLevel="2" x14ac:dyDescent="0.3">
      <c r="A177" s="27"/>
      <c r="B177" s="12" t="str">
        <f>CONCATENATE("          ", "6294", " - ", "TRAVEL OPERATIONAL")</f>
        <v xml:space="preserve">          6294 - TRAVEL OPERATIONAL</v>
      </c>
      <c r="C177" s="12"/>
      <c r="D177" s="8">
        <v>188.14</v>
      </c>
      <c r="E177" s="3"/>
      <c r="F177" s="7">
        <f t="shared" si="116"/>
        <v>8.5324951829543092E-4</v>
      </c>
      <c r="G177" s="3"/>
      <c r="H177" s="8">
        <v>215.16</v>
      </c>
      <c r="I177" s="3"/>
      <c r="J177" s="7">
        <f t="shared" si="117"/>
        <v>9.4506346433226589E-4</v>
      </c>
      <c r="K177" s="3"/>
      <c r="L177" s="8">
        <f t="shared" si="118"/>
        <v>-27.02000000000001</v>
      </c>
      <c r="M177" s="3"/>
      <c r="N177" s="7">
        <f t="shared" si="119"/>
        <v>-0.12558096300427593</v>
      </c>
      <c r="O177" s="12"/>
      <c r="P177" s="8">
        <v>188.14</v>
      </c>
      <c r="Q177" s="3"/>
      <c r="R177" s="7">
        <f t="shared" si="120"/>
        <v>8.5324951829543092E-4</v>
      </c>
      <c r="S177" s="3"/>
      <c r="T177" s="8">
        <v>215.16</v>
      </c>
      <c r="U177" s="3"/>
      <c r="V177" s="7">
        <f t="shared" si="121"/>
        <v>9.4506346433226589E-4</v>
      </c>
      <c r="W177" s="3"/>
      <c r="X177" s="8">
        <f t="shared" si="122"/>
        <v>-27.02000000000001</v>
      </c>
      <c r="Y177" s="3"/>
      <c r="Z177" s="7">
        <f t="shared" si="123"/>
        <v>-0.12558096300427593</v>
      </c>
    </row>
    <row r="178" spans="1:26" s="24" customFormat="1" hidden="1" outlineLevel="2" x14ac:dyDescent="0.3">
      <c r="A178" s="27"/>
      <c r="B178" s="12" t="str">
        <f>CONCATENATE("          ", "6298", " - ", "VEHICLE MILEAGE")</f>
        <v xml:space="preserve">          6298 - VEHICLE MILEAGE</v>
      </c>
      <c r="C178" s="12"/>
      <c r="D178" s="8"/>
      <c r="E178" s="3"/>
      <c r="F178" s="7">
        <f t="shared" si="116"/>
        <v>0</v>
      </c>
      <c r="G178" s="3"/>
      <c r="H178" s="8">
        <v>59.89</v>
      </c>
      <c r="I178" s="3"/>
      <c r="J178" s="7">
        <f t="shared" si="117"/>
        <v>2.630593552651952E-4</v>
      </c>
      <c r="K178" s="3"/>
      <c r="L178" s="8">
        <f t="shared" si="118"/>
        <v>-59.89</v>
      </c>
      <c r="M178" s="3"/>
      <c r="N178" s="7">
        <f t="shared" si="119"/>
        <v>-1</v>
      </c>
      <c r="O178" s="12"/>
      <c r="P178" s="8"/>
      <c r="Q178" s="3"/>
      <c r="R178" s="7">
        <f t="shared" si="120"/>
        <v>0</v>
      </c>
      <c r="S178" s="3"/>
      <c r="T178" s="8">
        <v>59.89</v>
      </c>
      <c r="U178" s="3"/>
      <c r="V178" s="7">
        <f t="shared" si="121"/>
        <v>2.630593552651952E-4</v>
      </c>
      <c r="W178" s="3"/>
      <c r="X178" s="8">
        <f t="shared" si="122"/>
        <v>-59.89</v>
      </c>
      <c r="Y178" s="3"/>
      <c r="Z178" s="7">
        <f t="shared" si="123"/>
        <v>-1</v>
      </c>
    </row>
    <row r="179" spans="1:26" s="29" customFormat="1" outlineLevel="1" collapsed="1" x14ac:dyDescent="0.3">
      <c r="A179" s="28"/>
      <c r="B179" s="14" t="str">
        <f>CONCATENATE("     ","Utilities                                         ")</f>
        <v xml:space="preserve">     Utilities                                         </v>
      </c>
      <c r="C179" s="14"/>
      <c r="D179" s="1">
        <f>SUM(OSRRefD22_23x_0)</f>
        <v>6136.49</v>
      </c>
      <c r="E179" s="1"/>
      <c r="F179" s="5">
        <f t="shared" ref="F179:F180" si="124">IF(D$12=0,0,D179/D$12)</f>
        <v>2.7830111281623948E-2</v>
      </c>
      <c r="G179" s="1"/>
      <c r="H179" s="1">
        <f>SUM(OSRRefH22_23x_0)</f>
        <v>6211.46</v>
      </c>
      <c r="I179" s="1"/>
      <c r="J179" s="5">
        <f t="shared" ref="J179:J180" si="125">IF(H$12=0,0,H179/H$12)</f>
        <v>2.7283063330364826E-2</v>
      </c>
      <c r="K179" s="1"/>
      <c r="L179" s="1">
        <f t="shared" ref="L179:L180" si="126">+D179-H179</f>
        <v>-74.970000000000255</v>
      </c>
      <c r="M179" s="1"/>
      <c r="N179" s="5">
        <f t="shared" ref="N179:N180" si="127">IF(H179=0,0,L179/H179)</f>
        <v>-1.2069626142646053E-2</v>
      </c>
      <c r="O179" s="14"/>
      <c r="P179" s="1">
        <f>SUM(OSRRefP22_23x_0)</f>
        <v>6136.49</v>
      </c>
      <c r="Q179" s="1"/>
      <c r="R179" s="5">
        <f t="shared" ref="R179:R180" si="128">IF(P$12=0,0,P179/P$12)</f>
        <v>2.7830111281623948E-2</v>
      </c>
      <c r="S179" s="1"/>
      <c r="T179" s="1">
        <f>SUM(OSRRefT22_23x_0)</f>
        <v>6211.46</v>
      </c>
      <c r="U179" s="1"/>
      <c r="V179" s="5">
        <f t="shared" ref="V179:V180" si="129">IF(T$12=0,0,T179/T$12)</f>
        <v>2.7283063330364826E-2</v>
      </c>
      <c r="W179" s="1"/>
      <c r="X179" s="1">
        <f t="shared" ref="X179:X180" si="130">+P179-T179</f>
        <v>-74.970000000000255</v>
      </c>
      <c r="Y179" s="1"/>
      <c r="Z179" s="5">
        <f t="shared" ref="Z179:Z180" si="131">IF(T179=0,0,X179/T179)</f>
        <v>-1.2069626142646053E-2</v>
      </c>
    </row>
    <row r="180" spans="1:26" s="24" customFormat="1" hidden="1" outlineLevel="2" x14ac:dyDescent="0.3">
      <c r="A180" s="27"/>
      <c r="B180" s="12" t="str">
        <f>CONCATENATE("          ", "6274", " - ", "UTILITIES")</f>
        <v xml:space="preserve">          6274 - UTILITIES</v>
      </c>
      <c r="C180" s="12"/>
      <c r="D180" s="8">
        <v>6136.49</v>
      </c>
      <c r="E180" s="3"/>
      <c r="F180" s="7">
        <f t="shared" si="124"/>
        <v>2.7830111281623948E-2</v>
      </c>
      <c r="G180" s="3"/>
      <c r="H180" s="8">
        <v>6211.46</v>
      </c>
      <c r="I180" s="3"/>
      <c r="J180" s="7">
        <f t="shared" si="125"/>
        <v>2.7283063330364826E-2</v>
      </c>
      <c r="K180" s="3"/>
      <c r="L180" s="8">
        <f t="shared" si="126"/>
        <v>-74.970000000000255</v>
      </c>
      <c r="M180" s="3"/>
      <c r="N180" s="7">
        <f t="shared" si="127"/>
        <v>-1.2069626142646053E-2</v>
      </c>
      <c r="O180" s="12"/>
      <c r="P180" s="8">
        <v>6136.49</v>
      </c>
      <c r="Q180" s="3"/>
      <c r="R180" s="7">
        <f t="shared" si="128"/>
        <v>2.7830111281623948E-2</v>
      </c>
      <c r="S180" s="3"/>
      <c r="T180" s="8">
        <v>6211.46</v>
      </c>
      <c r="U180" s="3"/>
      <c r="V180" s="7">
        <f t="shared" si="129"/>
        <v>2.7283063330364826E-2</v>
      </c>
      <c r="W180" s="3"/>
      <c r="X180" s="8">
        <f t="shared" si="130"/>
        <v>-74.970000000000255</v>
      </c>
      <c r="Y180" s="3"/>
      <c r="Z180" s="7">
        <f t="shared" si="131"/>
        <v>-1.2069626142646053E-2</v>
      </c>
    </row>
    <row r="181" spans="1:26" s="53" customFormat="1" x14ac:dyDescent="0.3">
      <c r="A181" s="37"/>
      <c r="B181" s="37"/>
      <c r="C181" s="37"/>
      <c r="D181" s="1"/>
      <c r="E181" s="1"/>
      <c r="F181" s="5"/>
      <c r="G181" s="1"/>
      <c r="H181" s="1"/>
      <c r="I181" s="1"/>
      <c r="J181" s="5"/>
      <c r="K181" s="1"/>
      <c r="L181" s="1"/>
      <c r="M181" s="1"/>
      <c r="N181" s="5"/>
      <c r="O181" s="37"/>
      <c r="P181" s="1"/>
      <c r="Q181" s="1"/>
      <c r="R181" s="5"/>
      <c r="S181" s="1"/>
      <c r="T181" s="1"/>
      <c r="U181" s="1"/>
      <c r="V181" s="5"/>
      <c r="W181" s="1"/>
      <c r="X181" s="1"/>
      <c r="Y181" s="1"/>
      <c r="Z181" s="5"/>
    </row>
    <row r="182" spans="1:26" s="23" customFormat="1" collapsed="1" x14ac:dyDescent="0.3">
      <c r="A182" s="10"/>
      <c r="B182" s="25" t="s">
        <v>292</v>
      </c>
      <c r="C182" s="10"/>
      <c r="D182" s="4">
        <f>SUM(OSRRefD25x_0)</f>
        <v>39640.85</v>
      </c>
      <c r="E182" s="4"/>
      <c r="F182" s="11">
        <f t="shared" ref="F182:F185" si="132">IF(D$12=0,0,D182/D$12)</f>
        <v>0.17977854877921459</v>
      </c>
      <c r="G182" s="4"/>
      <c r="H182" s="4">
        <f>SUM(OSRRefH25x_0)</f>
        <v>197872.55</v>
      </c>
      <c r="I182" s="4"/>
      <c r="J182" s="11">
        <f t="shared" ref="J182:J185" si="133">IF(H$12=0,0,H182/H$12)</f>
        <v>0.86913049637134909</v>
      </c>
      <c r="K182" s="4"/>
      <c r="L182" s="4">
        <f t="shared" ref="L182:L185" si="134">+D182-H182</f>
        <v>-158231.69999999998</v>
      </c>
      <c r="M182" s="4"/>
      <c r="N182" s="11">
        <f t="shared" ref="N182:N185" si="135">IF(H182=0,0,L182/H182)</f>
        <v>-0.79966473368842717</v>
      </c>
      <c r="O182" s="10"/>
      <c r="P182" s="4">
        <f>SUM(OSRRefP25x_0)</f>
        <v>39640.85</v>
      </c>
      <c r="Q182" s="4"/>
      <c r="R182" s="11">
        <f t="shared" ref="R182:R185" si="136">IF(P$12=0,0,P182/P$12)</f>
        <v>0.17977854877921459</v>
      </c>
      <c r="S182" s="4"/>
      <c r="T182" s="4">
        <f>SUM(OSRRefT25x_0)</f>
        <v>197872.55</v>
      </c>
      <c r="U182" s="4"/>
      <c r="V182" s="11">
        <f t="shared" ref="V182:V185" si="137">IF(T$12=0,0,T182/T$12)</f>
        <v>0.86913049637134909</v>
      </c>
      <c r="W182" s="4"/>
      <c r="X182" s="4">
        <f t="shared" ref="X182:X185" si="138">+P182-T182</f>
        <v>-158231.69999999998</v>
      </c>
      <c r="Y182" s="4"/>
      <c r="Z182" s="11">
        <f t="shared" ref="Z182:Z185" si="139">IF(T182=0,0,X182/T182)</f>
        <v>-0.79966473368842717</v>
      </c>
    </row>
    <row r="183" spans="1:26" s="24" customFormat="1" hidden="1" outlineLevel="1" x14ac:dyDescent="0.3">
      <c r="A183" s="50"/>
      <c r="B183" s="12" t="str">
        <f>CONCATENATE("          ", "9150", " - ", "MISC. INCOME")</f>
        <v xml:space="preserve">          9150 - MISC. INCOME</v>
      </c>
      <c r="C183" s="12"/>
      <c r="D183" s="3">
        <f>--33244.99</f>
        <v>33244.99</v>
      </c>
      <c r="E183" s="3"/>
      <c r="F183" s="22">
        <f t="shared" si="132"/>
        <v>0.15077214682277251</v>
      </c>
      <c r="G183" s="3"/>
      <c r="H183" s="3">
        <f>--35734.26</f>
        <v>35734.26</v>
      </c>
      <c r="I183" s="3"/>
      <c r="J183" s="22">
        <f t="shared" si="133"/>
        <v>0.15695828012153706</v>
      </c>
      <c r="K183" s="3"/>
      <c r="L183" s="3">
        <f t="shared" si="134"/>
        <v>-2489.2700000000041</v>
      </c>
      <c r="M183" s="3"/>
      <c r="N183" s="22">
        <f t="shared" si="135"/>
        <v>-6.9660600219509344E-2</v>
      </c>
      <c r="O183" s="12"/>
      <c r="P183" s="3">
        <f>--33244.99</f>
        <v>33244.99</v>
      </c>
      <c r="Q183" s="3"/>
      <c r="R183" s="22">
        <f t="shared" si="136"/>
        <v>0.15077214682277251</v>
      </c>
      <c r="S183" s="3"/>
      <c r="T183" s="3">
        <f>--35734.26</f>
        <v>35734.26</v>
      </c>
      <c r="U183" s="3"/>
      <c r="V183" s="22">
        <f t="shared" si="137"/>
        <v>0.15695828012153706</v>
      </c>
      <c r="W183" s="3"/>
      <c r="X183" s="3">
        <f t="shared" si="138"/>
        <v>-2489.2700000000041</v>
      </c>
      <c r="Y183" s="3"/>
      <c r="Z183" s="22">
        <f t="shared" si="139"/>
        <v>-6.9660600219509344E-2</v>
      </c>
    </row>
    <row r="184" spans="1:26" s="24" customFormat="1" hidden="1" outlineLevel="1" x14ac:dyDescent="0.3">
      <c r="A184" s="50"/>
      <c r="B184" s="12" t="str">
        <f>CONCATENATE("          ", "9152", " - ", "MISC. INCOME")</f>
        <v xml:space="preserve">          9152 - MISC. INCOME</v>
      </c>
      <c r="C184" s="12"/>
      <c r="D184" s="3">
        <f>--66.92</f>
        <v>66.92</v>
      </c>
      <c r="E184" s="3"/>
      <c r="F184" s="22">
        <f t="shared" si="132"/>
        <v>3.0349451347044885E-4</v>
      </c>
      <c r="G184" s="3"/>
      <c r="H184" s="3">
        <f>--1474.39</f>
        <v>1474.39</v>
      </c>
      <c r="I184" s="3"/>
      <c r="J184" s="22">
        <f t="shared" si="133"/>
        <v>6.4760741828260348E-3</v>
      </c>
      <c r="K184" s="3"/>
      <c r="L184" s="3">
        <f t="shared" si="134"/>
        <v>-1407.47</v>
      </c>
      <c r="M184" s="3"/>
      <c r="N184" s="22">
        <f t="shared" si="135"/>
        <v>-0.95461173773560581</v>
      </c>
      <c r="O184" s="12"/>
      <c r="P184" s="3">
        <f>--66.92</f>
        <v>66.92</v>
      </c>
      <c r="Q184" s="3"/>
      <c r="R184" s="22">
        <f t="shared" si="136"/>
        <v>3.0349451347044885E-4</v>
      </c>
      <c r="S184" s="3"/>
      <c r="T184" s="3">
        <f>--1474.39</f>
        <v>1474.39</v>
      </c>
      <c r="U184" s="3"/>
      <c r="V184" s="22">
        <f t="shared" si="137"/>
        <v>6.4760741828260348E-3</v>
      </c>
      <c r="W184" s="3"/>
      <c r="X184" s="3">
        <f t="shared" si="138"/>
        <v>-1407.47</v>
      </c>
      <c r="Y184" s="3"/>
      <c r="Z184" s="22">
        <f t="shared" si="139"/>
        <v>-0.95461173773560581</v>
      </c>
    </row>
    <row r="185" spans="1:26" s="24" customFormat="1" hidden="1" outlineLevel="1" x14ac:dyDescent="0.3">
      <c r="A185" s="50"/>
      <c r="B185" s="12" t="str">
        <f>CONCATENATE("          ", "9163", " - ", "MISC. INCOME")</f>
        <v xml:space="preserve">          9163 - MISC. INCOME</v>
      </c>
      <c r="C185" s="12"/>
      <c r="D185" s="3">
        <f>--6328.94</f>
        <v>6328.94</v>
      </c>
      <c r="E185" s="3"/>
      <c r="F185" s="22">
        <f t="shared" si="132"/>
        <v>2.8702907442971642E-2</v>
      </c>
      <c r="G185" s="3"/>
      <c r="H185" s="3">
        <f>--160663.9</f>
        <v>160663.9</v>
      </c>
      <c r="I185" s="3"/>
      <c r="J185" s="22">
        <f t="shared" si="133"/>
        <v>0.70569614206698605</v>
      </c>
      <c r="K185" s="3"/>
      <c r="L185" s="3">
        <f t="shared" si="134"/>
        <v>-154334.96</v>
      </c>
      <c r="M185" s="3"/>
      <c r="N185" s="22">
        <f t="shared" si="135"/>
        <v>-0.96060757892718895</v>
      </c>
      <c r="O185" s="12"/>
      <c r="P185" s="3">
        <f>--6328.94</f>
        <v>6328.94</v>
      </c>
      <c r="Q185" s="3"/>
      <c r="R185" s="22">
        <f t="shared" si="136"/>
        <v>2.8702907442971642E-2</v>
      </c>
      <c r="S185" s="3"/>
      <c r="T185" s="3">
        <f>--160663.9</f>
        <v>160663.9</v>
      </c>
      <c r="U185" s="3"/>
      <c r="V185" s="22">
        <f t="shared" si="137"/>
        <v>0.70569614206698605</v>
      </c>
      <c r="W185" s="3"/>
      <c r="X185" s="3">
        <f t="shared" si="138"/>
        <v>-154334.96</v>
      </c>
      <c r="Y185" s="3"/>
      <c r="Z185" s="22">
        <f t="shared" si="139"/>
        <v>-0.96060757892718895</v>
      </c>
    </row>
    <row r="186" spans="1:26" x14ac:dyDescent="0.3">
      <c r="A186" s="9"/>
      <c r="B186" s="10"/>
      <c r="C186" s="10"/>
      <c r="D186" s="2"/>
      <c r="E186" s="2"/>
      <c r="F186" s="6"/>
      <c r="G186" s="2"/>
      <c r="H186" s="2"/>
      <c r="I186" s="2"/>
      <c r="J186" s="6"/>
      <c r="K186" s="2"/>
      <c r="L186" s="2"/>
      <c r="M186" s="2"/>
      <c r="N186" s="6"/>
      <c r="O186" s="10"/>
      <c r="P186" s="2"/>
      <c r="Q186" s="2"/>
      <c r="R186" s="6"/>
      <c r="S186" s="2"/>
      <c r="T186" s="2"/>
      <c r="U186" s="2"/>
      <c r="V186" s="6"/>
      <c r="W186" s="2"/>
      <c r="X186" s="2"/>
      <c r="Y186" s="2"/>
      <c r="Z186" s="6"/>
    </row>
    <row r="187" spans="1:26" s="23" customFormat="1" x14ac:dyDescent="0.3">
      <c r="A187" s="10"/>
      <c r="B187" s="26" t="s">
        <v>276</v>
      </c>
      <c r="C187" s="26"/>
      <c r="D187" s="20">
        <f>+D95-D97+D182</f>
        <v>-242642.59999999989</v>
      </c>
      <c r="E187" s="13"/>
      <c r="F187" s="21">
        <f>IF(D$12=0,0,D187/D$12)</f>
        <v>-1.1004288379289404</v>
      </c>
      <c r="G187" s="13"/>
      <c r="H187" s="20">
        <f>+H95-H97+H182</f>
        <v>-69504.48000000004</v>
      </c>
      <c r="I187" s="13"/>
      <c r="J187" s="21">
        <f>IF(H$12=0,0,H187/H$12)</f>
        <v>-0.30528975950647297</v>
      </c>
      <c r="K187" s="16"/>
      <c r="L187" s="20">
        <f>+D187-H187</f>
        <v>-173138.11999999985</v>
      </c>
      <c r="M187" s="16"/>
      <c r="N187" s="21">
        <f>IF(H187=0,0,L187/H187)</f>
        <v>2.4910353980059954</v>
      </c>
      <c r="O187" s="25"/>
      <c r="P187" s="20">
        <f>+P95-P97+P182</f>
        <v>-242642.59999999989</v>
      </c>
      <c r="Q187" s="13"/>
      <c r="R187" s="21">
        <f>IF(P$12=0,0,P187/P$12)</f>
        <v>-1.1004288379289404</v>
      </c>
      <c r="S187" s="13"/>
      <c r="T187" s="20">
        <f>+T95-T97+T182</f>
        <v>-69504.48000000004</v>
      </c>
      <c r="U187" s="13"/>
      <c r="V187" s="21">
        <f>IF(T$12=0,0,T187/T$12)</f>
        <v>-0.30528975950647297</v>
      </c>
      <c r="W187" s="16"/>
      <c r="X187" s="20">
        <f>+P187-T187</f>
        <v>-173138.11999999985</v>
      </c>
      <c r="Y187" s="16"/>
      <c r="Z187" s="21">
        <f>IF(T187=0,0,X187/T187)</f>
        <v>2.4910353980059954</v>
      </c>
    </row>
    <row r="188" spans="1:26" x14ac:dyDescent="0.3">
      <c r="A188" s="9"/>
      <c r="B188" s="10"/>
      <c r="C188" s="9"/>
      <c r="D188" s="2"/>
      <c r="E188" s="2"/>
      <c r="F188" s="6"/>
      <c r="G188" s="2"/>
      <c r="H188" s="2"/>
      <c r="I188" s="2"/>
      <c r="J188" s="6"/>
      <c r="K188" s="2"/>
      <c r="L188" s="2"/>
      <c r="M188" s="2"/>
      <c r="N188" s="6"/>
      <c r="P188" s="2"/>
      <c r="Q188" s="2"/>
      <c r="R188" s="6"/>
      <c r="S188" s="2"/>
      <c r="T188" s="2"/>
      <c r="U188" s="2"/>
      <c r="V188" s="6"/>
      <c r="W188" s="2"/>
      <c r="X188" s="2"/>
      <c r="Y188" s="2"/>
      <c r="Z188" s="6"/>
    </row>
    <row r="189" spans="1:26" s="23" customFormat="1" x14ac:dyDescent="0.3">
      <c r="A189" s="51"/>
      <c r="B189" s="10" t="s">
        <v>127</v>
      </c>
      <c r="C189" s="10"/>
      <c r="D189" s="4">
        <v>101869.27</v>
      </c>
      <c r="E189" s="4"/>
      <c r="F189" s="11">
        <f>IF(D$12=0,0,D189/D$12)</f>
        <v>0.46199588368559164</v>
      </c>
      <c r="G189" s="4"/>
      <c r="H189" s="4">
        <v>114653.25</v>
      </c>
      <c r="I189" s="4"/>
      <c r="J189" s="11">
        <f>IF(H$12=0,0,H189/H$12)</f>
        <v>0.50360010058539395</v>
      </c>
      <c r="K189" s="4"/>
      <c r="L189" s="4">
        <f>+D189-H189</f>
        <v>-12783.979999999996</v>
      </c>
      <c r="M189" s="4"/>
      <c r="N189" s="11">
        <f>IF(H189=0,0,L189/H189)</f>
        <v>-0.1115012439682259</v>
      </c>
      <c r="O189" s="10"/>
      <c r="P189" s="4">
        <v>101869.27</v>
      </c>
      <c r="Q189" s="4"/>
      <c r="R189" s="11">
        <f>IF(P$12=0,0,P189/P$12)</f>
        <v>0.46199588368559164</v>
      </c>
      <c r="S189" s="4"/>
      <c r="T189" s="4">
        <v>114653.25</v>
      </c>
      <c r="U189" s="4"/>
      <c r="V189" s="11">
        <f>IF(T$12=0,0,T189/T$12)</f>
        <v>0.50360010058539395</v>
      </c>
      <c r="W189" s="4"/>
      <c r="X189" s="4">
        <f>+P189-T189</f>
        <v>-12783.979999999996</v>
      </c>
      <c r="Y189" s="4"/>
      <c r="Z189" s="11">
        <f>IF(T189=0,0,X189/T189)</f>
        <v>-0.1115012439682259</v>
      </c>
    </row>
    <row r="190" spans="1:26" x14ac:dyDescent="0.3">
      <c r="A190" s="9"/>
      <c r="B190" s="10"/>
      <c r="C190" s="10"/>
      <c r="D190" s="2"/>
      <c r="E190" s="2"/>
      <c r="F190" s="6"/>
      <c r="G190" s="2"/>
      <c r="H190" s="2"/>
      <c r="I190" s="2"/>
      <c r="J190" s="6"/>
      <c r="K190" s="2"/>
      <c r="L190" s="2"/>
      <c r="M190" s="2"/>
      <c r="N190" s="6"/>
      <c r="O190" s="10"/>
      <c r="P190" s="2"/>
      <c r="Q190" s="2"/>
      <c r="R190" s="6"/>
      <c r="S190" s="2"/>
      <c r="T190" s="2"/>
      <c r="U190" s="2"/>
      <c r="V190" s="6"/>
      <c r="W190" s="2"/>
      <c r="X190" s="2"/>
      <c r="Y190" s="2"/>
      <c r="Z190" s="6"/>
    </row>
    <row r="191" spans="1:26" s="23" customFormat="1" ht="15" thickBot="1" x14ac:dyDescent="0.35">
      <c r="A191" s="10"/>
      <c r="B191" s="26" t="s">
        <v>125</v>
      </c>
      <c r="C191" s="26"/>
      <c r="D191" s="36">
        <f>+D187-D189</f>
        <v>-344511.86999999988</v>
      </c>
      <c r="E191" s="13"/>
      <c r="F191" s="34">
        <f>IF(D$12=0,0,D191/D$12)</f>
        <v>-1.5624247216145319</v>
      </c>
      <c r="G191" s="13"/>
      <c r="H191" s="36">
        <f>+H187-H189</f>
        <v>-184157.73000000004</v>
      </c>
      <c r="I191" s="13"/>
      <c r="J191" s="34">
        <f>IF(H$12=0,0,H191/H$12)</f>
        <v>-0.80888986009186692</v>
      </c>
      <c r="K191" s="16"/>
      <c r="L191" s="36">
        <f>D191-H191</f>
        <v>-160354.13999999984</v>
      </c>
      <c r="M191" s="16"/>
      <c r="N191" s="34">
        <f>IF(H191=0,0,L191/H191)</f>
        <v>0.8707434653978402</v>
      </c>
      <c r="O191" s="25"/>
      <c r="P191" s="36">
        <f>+P187-P189</f>
        <v>-344511.86999999988</v>
      </c>
      <c r="Q191" s="13"/>
      <c r="R191" s="34">
        <f>IF(P$12=0,0,P191/P$12)</f>
        <v>-1.5624247216145319</v>
      </c>
      <c r="S191" s="13"/>
      <c r="T191" s="36">
        <f>+T187-T189</f>
        <v>-184157.73000000004</v>
      </c>
      <c r="U191" s="13"/>
      <c r="V191" s="34">
        <f>IF(T$12=0,0,T191/T$12)</f>
        <v>-0.80888986009186692</v>
      </c>
      <c r="W191" s="16"/>
      <c r="X191" s="36">
        <f>P191-T191</f>
        <v>-160354.13999999984</v>
      </c>
      <c r="Y191" s="16"/>
      <c r="Z191" s="34">
        <f>IF(T191=0,0,X191/T191)</f>
        <v>0.8707434653978402</v>
      </c>
    </row>
    <row r="192" spans="1:26" ht="15" thickTop="1" x14ac:dyDescent="0.3">
      <c r="A192" s="9"/>
      <c r="B192" s="9"/>
      <c r="C192" s="9"/>
      <c r="D192" s="2"/>
      <c r="E192" s="2"/>
      <c r="F192" s="6"/>
      <c r="G192" s="2"/>
      <c r="H192" s="2"/>
      <c r="I192" s="2"/>
      <c r="J192" s="6"/>
      <c r="K192" s="2"/>
      <c r="L192" s="2"/>
      <c r="M192" s="2"/>
      <c r="N192" s="6"/>
      <c r="P192" s="2"/>
      <c r="Q192" s="2"/>
      <c r="R192" s="6"/>
      <c r="S192" s="2"/>
      <c r="T192" s="2"/>
      <c r="U192" s="2"/>
      <c r="V192" s="6"/>
      <c r="W192" s="2"/>
      <c r="X192" s="2"/>
      <c r="Y192" s="2"/>
      <c r="Z192" s="6"/>
    </row>
    <row r="193" spans="1:26" x14ac:dyDescent="0.3">
      <c r="A193" s="9"/>
      <c r="B193" s="9"/>
      <c r="C193" s="9"/>
      <c r="D193" s="2"/>
      <c r="E193" s="2"/>
      <c r="F193" s="6"/>
      <c r="G193" s="2"/>
      <c r="H193" s="2"/>
      <c r="I193" s="2"/>
      <c r="J193" s="6"/>
      <c r="K193" s="2"/>
      <c r="L193" s="2"/>
      <c r="M193" s="2"/>
      <c r="N193" s="6"/>
      <c r="P193" s="2"/>
      <c r="Q193" s="2"/>
      <c r="R193" s="6"/>
      <c r="S193" s="2"/>
      <c r="T193" s="2"/>
      <c r="U193" s="2"/>
      <c r="V193" s="6"/>
      <c r="W193" s="2"/>
      <c r="X193" s="2"/>
      <c r="Y193" s="2"/>
      <c r="Z193" s="6"/>
    </row>
    <row r="194" spans="1:26" s="23" customFormat="1" ht="15" thickBot="1" x14ac:dyDescent="0.35">
      <c r="A194" s="10"/>
      <c r="B194" s="26" t="s">
        <v>293</v>
      </c>
      <c r="C194" s="26"/>
      <c r="D194" s="31">
        <f>SUM(D191:D193)</f>
        <v>-344511.86999999988</v>
      </c>
      <c r="E194" s="13"/>
      <c r="F194" s="33">
        <f>IF(D$12=0,0,D194/D$12)</f>
        <v>-1.5624247216145319</v>
      </c>
      <c r="G194" s="13"/>
      <c r="H194" s="31">
        <f>SUM(H191:H193)</f>
        <v>-184157.73000000004</v>
      </c>
      <c r="I194" s="13"/>
      <c r="J194" s="33">
        <f>IF(H$12=0,0,H194/H$12)</f>
        <v>-0.80888986009186692</v>
      </c>
      <c r="K194" s="16"/>
      <c r="L194" s="31">
        <f>+D194-H194</f>
        <v>-160354.13999999984</v>
      </c>
      <c r="M194" s="16"/>
      <c r="N194" s="33">
        <f>IF(H194=0,0,L194/H194)</f>
        <v>0.8707434653978402</v>
      </c>
      <c r="O194" s="25"/>
      <c r="P194" s="31">
        <f>SUM(P191:P193)</f>
        <v>-344511.86999999988</v>
      </c>
      <c r="Q194" s="13"/>
      <c r="R194" s="33">
        <f>IF(P$12=0,0,P194/P$12)</f>
        <v>-1.5624247216145319</v>
      </c>
      <c r="S194" s="13"/>
      <c r="T194" s="31">
        <f>SUM(T191:T193)</f>
        <v>-184157.73000000004</v>
      </c>
      <c r="U194" s="13"/>
      <c r="V194" s="33">
        <f>IF(T$12=0,0,T194/T$12)</f>
        <v>-0.80888986009186692</v>
      </c>
      <c r="W194" s="16"/>
      <c r="X194" s="31">
        <f>+P194-T194</f>
        <v>-160354.13999999984</v>
      </c>
      <c r="Y194" s="16"/>
      <c r="Z194" s="33">
        <f>IF(T194=0,0,X194/T194)</f>
        <v>0.8707434653978402</v>
      </c>
    </row>
    <row r="195" spans="1:26" ht="15" thickTop="1" x14ac:dyDescent="0.3">
      <c r="A195" s="9"/>
      <c r="C195" s="9"/>
      <c r="D195" s="18"/>
      <c r="E195" s="18"/>
      <c r="G195" s="18"/>
      <c r="H195" s="18"/>
      <c r="I195" s="18"/>
      <c r="J195" s="43"/>
      <c r="K195" s="18"/>
      <c r="L195" s="18"/>
      <c r="M195" s="18"/>
      <c r="P195" s="18"/>
      <c r="Q195" s="18"/>
      <c r="R195" s="43"/>
      <c r="S195" s="18"/>
      <c r="T195" s="18"/>
      <c r="U195" s="18"/>
      <c r="V195" s="43"/>
      <c r="W195" s="18"/>
      <c r="X195" s="18"/>
    </row>
    <row r="196" spans="1:26" x14ac:dyDescent="0.3">
      <c r="A196" s="9"/>
      <c r="B196" s="59">
        <v>44462.666926817132</v>
      </c>
      <c r="D196" s="18"/>
      <c r="E196" s="18"/>
      <c r="G196" s="18"/>
      <c r="H196" s="18"/>
      <c r="I196" s="18"/>
      <c r="J196" s="43"/>
      <c r="K196" s="18"/>
      <c r="L196" s="18"/>
      <c r="M196" s="18"/>
      <c r="P196" s="18"/>
      <c r="Q196" s="18"/>
      <c r="R196" s="43"/>
      <c r="S196" s="18"/>
      <c r="T196" s="18"/>
      <c r="U196" s="18"/>
      <c r="V196" s="43"/>
      <c r="W196" s="18"/>
      <c r="X196" s="18"/>
    </row>
    <row r="197" spans="1:26" x14ac:dyDescent="0.3">
      <c r="A197" s="9"/>
      <c r="B197" s="57" t="s">
        <v>56</v>
      </c>
      <c r="D197" s="18"/>
      <c r="E197" s="18"/>
      <c r="G197" s="18"/>
      <c r="H197" s="18"/>
      <c r="I197" s="18"/>
      <c r="J197" s="43"/>
      <c r="K197" s="18"/>
      <c r="L197" s="18"/>
      <c r="M197" s="18"/>
      <c r="P197" s="18"/>
      <c r="Q197" s="18"/>
      <c r="R197" s="43"/>
      <c r="S197" s="18"/>
      <c r="T197" s="18"/>
      <c r="U197" s="18"/>
      <c r="V197" s="43"/>
      <c r="W197" s="18"/>
      <c r="X197" s="18"/>
    </row>
    <row r="198" spans="1:26" x14ac:dyDescent="0.3">
      <c r="A198" s="9"/>
      <c r="B198" s="61"/>
      <c r="D198" s="18"/>
      <c r="E198" s="18"/>
      <c r="G198" s="18"/>
      <c r="H198" s="18"/>
      <c r="I198" s="18"/>
      <c r="J198" s="43"/>
      <c r="K198" s="18"/>
      <c r="L198" s="18"/>
      <c r="M198" s="18"/>
      <c r="P198" s="18"/>
      <c r="Q198" s="18"/>
      <c r="R198" s="43"/>
      <c r="S198" s="18"/>
      <c r="T198" s="18"/>
      <c r="U198" s="18"/>
      <c r="V198" s="43"/>
      <c r="W198" s="18"/>
      <c r="X198" s="18"/>
    </row>
    <row r="199" spans="1:26" x14ac:dyDescent="0.3">
      <c r="D199" s="18"/>
      <c r="E199" s="18"/>
      <c r="G199" s="18"/>
      <c r="H199" s="18"/>
      <c r="I199" s="18"/>
      <c r="J199" s="43"/>
      <c r="K199" s="18"/>
      <c r="L199" s="18"/>
      <c r="M199" s="18"/>
      <c r="P199" s="18"/>
      <c r="Q199" s="18"/>
      <c r="R199" s="43"/>
      <c r="S199" s="18"/>
      <c r="T199" s="18"/>
      <c r="U199" s="18"/>
      <c r="V199" s="43"/>
      <c r="W199" s="18"/>
      <c r="X199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9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220498.22000000003</v>
      </c>
      <c r="E12" s="4"/>
      <c r="F12" s="11"/>
      <c r="G12" s="4"/>
      <c r="H12" s="4">
        <f>SUM(OSRRefH13x_0)</f>
        <v>227667.24999999994</v>
      </c>
      <c r="I12" s="4"/>
      <c r="J12" s="11"/>
      <c r="K12" s="4"/>
      <c r="L12" s="4">
        <f t="shared" ref="L12:L62" si="0">+D12-H12</f>
        <v>-7169.0299999999115</v>
      </c>
      <c r="M12" s="4"/>
      <c r="N12" s="11">
        <f t="shared" ref="N12:N62" si="1">IF(H12=0,0,L12/H12)</f>
        <v>-3.1489070123172806E-2</v>
      </c>
      <c r="O12" s="10"/>
      <c r="P12" s="4">
        <f>SUM(OSRRefP13x_0)</f>
        <v>220498.22000000003</v>
      </c>
      <c r="Q12" s="4"/>
      <c r="R12" s="11"/>
      <c r="S12" s="4"/>
      <c r="T12" s="4">
        <f>SUM(OSRRefT13x_0)</f>
        <v>227667.24999999994</v>
      </c>
      <c r="U12" s="4"/>
      <c r="V12" s="11"/>
      <c r="W12" s="4"/>
      <c r="X12" s="4">
        <f t="shared" ref="X12:X62" si="2">+P12-T12</f>
        <v>-7169.0299999999115</v>
      </c>
      <c r="Y12" s="4"/>
      <c r="Z12" s="11">
        <f t="shared" ref="Z12:Z62" si="3">IF(T12=0,0,X12/T12)</f>
        <v>-3.1489070123172806E-2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--188048.33</f>
        <v>188048.33</v>
      </c>
      <c r="E13" s="3"/>
      <c r="F13" s="22"/>
      <c r="G13" s="3"/>
      <c r="H13" s="3">
        <f>-10723.46</f>
        <v>-10723.46</v>
      </c>
      <c r="I13" s="3"/>
      <c r="J13" s="22"/>
      <c r="K13" s="3"/>
      <c r="L13" s="3">
        <f t="shared" si="0"/>
        <v>198771.78999999998</v>
      </c>
      <c r="M13" s="3"/>
      <c r="N13" s="22">
        <f t="shared" si="1"/>
        <v>-18.536161835825379</v>
      </c>
      <c r="O13" s="12"/>
      <c r="P13" s="3">
        <f>--188048.33</f>
        <v>188048.33</v>
      </c>
      <c r="Q13" s="3"/>
      <c r="R13" s="22"/>
      <c r="S13" s="3"/>
      <c r="T13" s="3">
        <f>-10723.46</f>
        <v>-10723.46</v>
      </c>
      <c r="U13" s="3"/>
      <c r="V13" s="22"/>
      <c r="W13" s="3"/>
      <c r="X13" s="3">
        <f t="shared" si="2"/>
        <v>198771.78999999998</v>
      </c>
      <c r="Y13" s="3"/>
      <c r="Z13" s="22">
        <f t="shared" si="3"/>
        <v>-18.536161835825379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28" si="4">0</f>
        <v>0</v>
      </c>
      <c r="E14" s="3"/>
      <c r="F14" s="22"/>
      <c r="G14" s="3"/>
      <c r="H14" s="3">
        <f>--11947.85</f>
        <v>11947.85</v>
      </c>
      <c r="I14" s="3"/>
      <c r="J14" s="22"/>
      <c r="K14" s="3"/>
      <c r="L14" s="3">
        <f t="shared" si="0"/>
        <v>-11947.85</v>
      </c>
      <c r="M14" s="3"/>
      <c r="N14" s="22">
        <f t="shared" si="1"/>
        <v>-1</v>
      </c>
      <c r="O14" s="12"/>
      <c r="P14" s="3">
        <f t="shared" ref="P14:P28" si="5">0</f>
        <v>0</v>
      </c>
      <c r="Q14" s="3"/>
      <c r="R14" s="22"/>
      <c r="S14" s="3"/>
      <c r="T14" s="3">
        <f>--11947.85</f>
        <v>11947.85</v>
      </c>
      <c r="U14" s="3"/>
      <c r="V14" s="22"/>
      <c r="W14" s="3"/>
      <c r="X14" s="3">
        <f t="shared" si="2"/>
        <v>-11947.85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--13029.34</f>
        <v>13029.34</v>
      </c>
      <c r="I15" s="3"/>
      <c r="J15" s="22"/>
      <c r="K15" s="3"/>
      <c r="L15" s="3">
        <f t="shared" si="0"/>
        <v>-13029.34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--13029.34</f>
        <v>13029.34</v>
      </c>
      <c r="U15" s="3"/>
      <c r="V15" s="22"/>
      <c r="W15" s="3"/>
      <c r="X15" s="3">
        <f t="shared" si="2"/>
        <v>-13029.34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 t="shared" si="4"/>
        <v>0</v>
      </c>
      <c r="E18" s="3"/>
      <c r="F18" s="22"/>
      <c r="G18" s="3"/>
      <c r="H18" s="3">
        <f>--236.56</f>
        <v>236.56</v>
      </c>
      <c r="I18" s="3"/>
      <c r="J18" s="22"/>
      <c r="K18" s="3"/>
      <c r="L18" s="3">
        <f t="shared" si="0"/>
        <v>-236.56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--236.56</f>
        <v>236.56</v>
      </c>
      <c r="U18" s="3"/>
      <c r="V18" s="22"/>
      <c r="W18" s="3"/>
      <c r="X18" s="3">
        <f t="shared" si="2"/>
        <v>-236.56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 t="shared" si="4"/>
        <v>0</v>
      </c>
      <c r="E19" s="3"/>
      <c r="F19" s="22"/>
      <c r="G19" s="3"/>
      <c r="H19" s="3">
        <f>--1653.17</f>
        <v>1653.17</v>
      </c>
      <c r="I19" s="3"/>
      <c r="J19" s="22"/>
      <c r="K19" s="3"/>
      <c r="L19" s="3">
        <f t="shared" si="0"/>
        <v>-1653.17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--1653.17</f>
        <v>1653.17</v>
      </c>
      <c r="U19" s="3"/>
      <c r="V19" s="22"/>
      <c r="W19" s="3"/>
      <c r="X19" s="3">
        <f t="shared" si="2"/>
        <v>-1653.17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"4028", " - ", "TAXABLE SALES-ART/TECH")</f>
        <v xml:space="preserve">          4028 - TAXABLE SALES-ART/TECH</v>
      </c>
      <c r="C20" s="12"/>
      <c r="D20" s="3">
        <f t="shared" si="4"/>
        <v>0</v>
      </c>
      <c r="E20" s="3"/>
      <c r="F20" s="22"/>
      <c r="G20" s="3"/>
      <c r="H20" s="3">
        <f>--19.85</f>
        <v>19.850000000000001</v>
      </c>
      <c r="I20" s="3"/>
      <c r="J20" s="22"/>
      <c r="K20" s="3"/>
      <c r="L20" s="3">
        <f t="shared" si="0"/>
        <v>-19.850000000000001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--19.85</f>
        <v>19.850000000000001</v>
      </c>
      <c r="U20" s="3"/>
      <c r="V20" s="22"/>
      <c r="W20" s="3"/>
      <c r="X20" s="3">
        <f t="shared" si="2"/>
        <v>-19.850000000000001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"4031", " - ", "TAXABLE SALES-FOOD")</f>
        <v xml:space="preserve">          4031 - TAXABLE SALES-FOOD</v>
      </c>
      <c r="C21" s="12"/>
      <c r="D21" s="3">
        <f t="shared" si="4"/>
        <v>0</v>
      </c>
      <c r="E21" s="3"/>
      <c r="F21" s="22"/>
      <c r="G21" s="3"/>
      <c r="H21" s="3">
        <f>--19.75</f>
        <v>19.75</v>
      </c>
      <c r="I21" s="3"/>
      <c r="J21" s="22"/>
      <c r="K21" s="3"/>
      <c r="L21" s="3">
        <f t="shared" si="0"/>
        <v>-19.75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--19.75</f>
        <v>19.75</v>
      </c>
      <c r="U21" s="3"/>
      <c r="V21" s="22"/>
      <c r="W21" s="3"/>
      <c r="X21" s="3">
        <f t="shared" si="2"/>
        <v>-19.75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"4034", " - ", "TAXABLE SALES-SODA")</f>
        <v xml:space="preserve">          4034 - TAXABLE SALES-SODA</v>
      </c>
      <c r="C22" s="12"/>
      <c r="D22" s="3">
        <f t="shared" si="4"/>
        <v>0</v>
      </c>
      <c r="E22" s="3"/>
      <c r="F22" s="22"/>
      <c r="G22" s="3"/>
      <c r="H22" s="3">
        <f>--6.78</f>
        <v>6.78</v>
      </c>
      <c r="I22" s="3"/>
      <c r="J22" s="22"/>
      <c r="K22" s="3"/>
      <c r="L22" s="3">
        <f t="shared" si="0"/>
        <v>-6.78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--6.78</f>
        <v>6.78</v>
      </c>
      <c r="U22" s="3"/>
      <c r="V22" s="22"/>
      <c r="W22" s="3"/>
      <c r="X22" s="3">
        <f t="shared" si="2"/>
        <v>-6.78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"4040", " - ", "TAXABLE SALES-LOGO CLOTHING")</f>
        <v xml:space="preserve">          4040 - TAXABLE SALES-LOGO CLOTHING</v>
      </c>
      <c r="C23" s="12"/>
      <c r="D23" s="3">
        <f t="shared" si="4"/>
        <v>0</v>
      </c>
      <c r="E23" s="3"/>
      <c r="F23" s="22"/>
      <c r="G23" s="3"/>
      <c r="H23" s="3">
        <f>--72292.26</f>
        <v>72292.259999999995</v>
      </c>
      <c r="I23" s="3"/>
      <c r="J23" s="22"/>
      <c r="K23" s="3"/>
      <c r="L23" s="3">
        <f t="shared" si="0"/>
        <v>-72292.259999999995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--72292.26</f>
        <v>72292.259999999995</v>
      </c>
      <c r="U23" s="3"/>
      <c r="V23" s="22"/>
      <c r="W23" s="3"/>
      <c r="X23" s="3">
        <f t="shared" si="2"/>
        <v>-72292.259999999995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"4041", " - ", "TAXABLE SALES-LOGO GIFTS")</f>
        <v xml:space="preserve">          4041 - TAXABLE SALES-LOGO GIFTS</v>
      </c>
      <c r="C24" s="12"/>
      <c r="D24" s="3">
        <f t="shared" si="4"/>
        <v>0</v>
      </c>
      <c r="E24" s="3"/>
      <c r="F24" s="22"/>
      <c r="G24" s="3"/>
      <c r="H24" s="3">
        <f>--21188.91</f>
        <v>21188.91</v>
      </c>
      <c r="I24" s="3"/>
      <c r="J24" s="22"/>
      <c r="K24" s="3"/>
      <c r="L24" s="3">
        <f t="shared" si="0"/>
        <v>-21188.91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--21188.91</f>
        <v>21188.91</v>
      </c>
      <c r="U24" s="3"/>
      <c r="V24" s="22"/>
      <c r="W24" s="3"/>
      <c r="X24" s="3">
        <f t="shared" si="2"/>
        <v>-21188.91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"4042", " - ", "TAXABLE SALES-EVERYDAY GIFTS")</f>
        <v xml:space="preserve">          4042 - TAXABLE SALES-EVERYDAY GIFTS</v>
      </c>
      <c r="C25" s="12"/>
      <c r="D25" s="3">
        <f t="shared" si="4"/>
        <v>0</v>
      </c>
      <c r="E25" s="3"/>
      <c r="F25" s="22"/>
      <c r="G25" s="3"/>
      <c r="H25" s="3">
        <f>--9503.9</f>
        <v>9503.9</v>
      </c>
      <c r="I25" s="3"/>
      <c r="J25" s="22"/>
      <c r="K25" s="3"/>
      <c r="L25" s="3">
        <f t="shared" si="0"/>
        <v>-9503.9</v>
      </c>
      <c r="M25" s="3"/>
      <c r="N25" s="22">
        <f t="shared" si="1"/>
        <v>-1</v>
      </c>
      <c r="O25" s="12"/>
      <c r="P25" s="3">
        <f t="shared" si="5"/>
        <v>0</v>
      </c>
      <c r="Q25" s="3"/>
      <c r="R25" s="22"/>
      <c r="S25" s="3"/>
      <c r="T25" s="3">
        <f>--9503.9</f>
        <v>9503.9</v>
      </c>
      <c r="U25" s="3"/>
      <c r="V25" s="22"/>
      <c r="W25" s="3"/>
      <c r="X25" s="3">
        <f t="shared" si="2"/>
        <v>-9503.9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"4043", " - ", "TAXABLE SALES-CARDS")</f>
        <v xml:space="preserve">          4043 - TAXABLE SALES-CARDS</v>
      </c>
      <c r="C26" s="12"/>
      <c r="D26" s="3">
        <f t="shared" si="4"/>
        <v>0</v>
      </c>
      <c r="E26" s="3"/>
      <c r="F26" s="22"/>
      <c r="G26" s="3"/>
      <c r="H26" s="3">
        <f>--217.36</f>
        <v>217.36</v>
      </c>
      <c r="I26" s="3"/>
      <c r="J26" s="22"/>
      <c r="K26" s="3"/>
      <c r="L26" s="3">
        <f t="shared" si="0"/>
        <v>-217.36</v>
      </c>
      <c r="M26" s="3"/>
      <c r="N26" s="22">
        <f t="shared" si="1"/>
        <v>-1</v>
      </c>
      <c r="O26" s="12"/>
      <c r="P26" s="3">
        <f t="shared" si="5"/>
        <v>0</v>
      </c>
      <c r="Q26" s="3"/>
      <c r="R26" s="22"/>
      <c r="S26" s="3"/>
      <c r="T26" s="3">
        <f>--217.36</f>
        <v>217.36</v>
      </c>
      <c r="U26" s="3"/>
      <c r="V26" s="22"/>
      <c r="W26" s="3"/>
      <c r="X26" s="3">
        <f t="shared" si="2"/>
        <v>-217.36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"4044", " - ", "TAXABLE SALES-ACCESSORIES")</f>
        <v xml:space="preserve">          4044 - TAXABLE SALES-ACCESSORIES</v>
      </c>
      <c r="C27" s="12"/>
      <c r="D27" s="3">
        <f t="shared" si="4"/>
        <v>0</v>
      </c>
      <c r="E27" s="3"/>
      <c r="F27" s="22"/>
      <c r="G27" s="3"/>
      <c r="H27" s="3">
        <f>--1800.68</f>
        <v>1800.68</v>
      </c>
      <c r="I27" s="3"/>
      <c r="J27" s="22"/>
      <c r="K27" s="3"/>
      <c r="L27" s="3">
        <f t="shared" si="0"/>
        <v>-1800.68</v>
      </c>
      <c r="M27" s="3"/>
      <c r="N27" s="22">
        <f t="shared" si="1"/>
        <v>-1</v>
      </c>
      <c r="O27" s="12"/>
      <c r="P27" s="3">
        <f t="shared" si="5"/>
        <v>0</v>
      </c>
      <c r="Q27" s="3"/>
      <c r="R27" s="22"/>
      <c r="S27" s="3"/>
      <c r="T27" s="3">
        <f>--1800.68</f>
        <v>1800.68</v>
      </c>
      <c r="U27" s="3"/>
      <c r="V27" s="22"/>
      <c r="W27" s="3"/>
      <c r="X27" s="3">
        <f t="shared" si="2"/>
        <v>-1800.68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"4045", " - ", "TAXABLE SALES-SPECIAL ORDERS")</f>
        <v xml:space="preserve">          4045 - TAXABLE SALES-SPECIAL ORDERS</v>
      </c>
      <c r="C28" s="12"/>
      <c r="D28" s="3">
        <f t="shared" si="4"/>
        <v>0</v>
      </c>
      <c r="E28" s="3"/>
      <c r="F28" s="22"/>
      <c r="G28" s="3"/>
      <c r="H28" s="3">
        <f>--43426.73</f>
        <v>43426.73</v>
      </c>
      <c r="I28" s="3"/>
      <c r="J28" s="22"/>
      <c r="K28" s="3"/>
      <c r="L28" s="3">
        <f t="shared" si="0"/>
        <v>-43426.73</v>
      </c>
      <c r="M28" s="3"/>
      <c r="N28" s="22">
        <f t="shared" si="1"/>
        <v>-1</v>
      </c>
      <c r="O28" s="12"/>
      <c r="P28" s="3">
        <f t="shared" si="5"/>
        <v>0</v>
      </c>
      <c r="Q28" s="3"/>
      <c r="R28" s="22"/>
      <c r="S28" s="3"/>
      <c r="T28" s="3">
        <f>--43426.73</f>
        <v>43426.73</v>
      </c>
      <c r="U28" s="3"/>
      <c r="V28" s="22"/>
      <c r="W28" s="3"/>
      <c r="X28" s="3">
        <f t="shared" si="2"/>
        <v>-43426.73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"4100", " - ", "NON-TAXABLE SALES")</f>
        <v xml:space="preserve">          4100 - NON-TAXABLE SALES</v>
      </c>
      <c r="C29" s="12"/>
      <c r="D29" s="3">
        <f>--39098.54</f>
        <v>39098.54</v>
      </c>
      <c r="E29" s="3"/>
      <c r="F29" s="22"/>
      <c r="G29" s="3"/>
      <c r="H29" s="3">
        <f>--3038.3</f>
        <v>3038.3</v>
      </c>
      <c r="I29" s="3"/>
      <c r="J29" s="22"/>
      <c r="K29" s="3"/>
      <c r="L29" s="3">
        <f t="shared" si="0"/>
        <v>36060.239999999998</v>
      </c>
      <c r="M29" s="3"/>
      <c r="N29" s="22">
        <f t="shared" si="1"/>
        <v>11.868558075239442</v>
      </c>
      <c r="O29" s="12"/>
      <c r="P29" s="3">
        <f>--39098.54</f>
        <v>39098.54</v>
      </c>
      <c r="Q29" s="3"/>
      <c r="R29" s="22"/>
      <c r="S29" s="3"/>
      <c r="T29" s="3">
        <f>--3038.3</f>
        <v>3038.3</v>
      </c>
      <c r="U29" s="3"/>
      <c r="V29" s="22"/>
      <c r="W29" s="3"/>
      <c r="X29" s="3">
        <f t="shared" si="2"/>
        <v>36060.239999999998</v>
      </c>
      <c r="Y29" s="3"/>
      <c r="Z29" s="22">
        <f t="shared" si="3"/>
        <v>11.868558075239442</v>
      </c>
    </row>
    <row r="30" spans="1:26" s="24" customFormat="1" hidden="1" outlineLevel="1" x14ac:dyDescent="0.3">
      <c r="A30" s="50"/>
      <c r="B30" s="12" t="str">
        <f>CONCATENATE("          ", "4101", " - ", "NON-TAXABLE SALES-NEW TEXT")</f>
        <v xml:space="preserve">          4101 - NON-TAXABLE SALES-NEW TEXT</v>
      </c>
      <c r="C30" s="12"/>
      <c r="D30" s="3">
        <f t="shared" ref="D30:D45" si="6">0</f>
        <v>0</v>
      </c>
      <c r="E30" s="3"/>
      <c r="F30" s="22"/>
      <c r="G30" s="3"/>
      <c r="H30" s="3">
        <f>--10341.86</f>
        <v>10341.86</v>
      </c>
      <c r="I30" s="3"/>
      <c r="J30" s="22"/>
      <c r="K30" s="3"/>
      <c r="L30" s="3">
        <f t="shared" si="0"/>
        <v>-10341.86</v>
      </c>
      <c r="M30" s="3"/>
      <c r="N30" s="22">
        <f t="shared" si="1"/>
        <v>-1</v>
      </c>
      <c r="O30" s="12"/>
      <c r="P30" s="3">
        <f t="shared" ref="P30:P45" si="7">0</f>
        <v>0</v>
      </c>
      <c r="Q30" s="3"/>
      <c r="R30" s="22"/>
      <c r="S30" s="3"/>
      <c r="T30" s="3">
        <f>--10341.86</f>
        <v>10341.86</v>
      </c>
      <c r="U30" s="3"/>
      <c r="V30" s="22"/>
      <c r="W30" s="3"/>
      <c r="X30" s="3">
        <f t="shared" si="2"/>
        <v>-10341.86</v>
      </c>
      <c r="Y30" s="3"/>
      <c r="Z30" s="22">
        <f t="shared" si="3"/>
        <v>-1</v>
      </c>
    </row>
    <row r="31" spans="1:26" s="24" customFormat="1" hidden="1" outlineLevel="1" x14ac:dyDescent="0.3">
      <c r="A31" s="50"/>
      <c r="B31" s="12" t="str">
        <f>CONCATENATE("          ", "4102", " - ", "NON-TAXABLE SALES-USED TEXT")</f>
        <v xml:space="preserve">          4102 - NON-TAXABLE SALES-USED TEXT</v>
      </c>
      <c r="C31" s="12"/>
      <c r="D31" s="3">
        <f t="shared" si="6"/>
        <v>0</v>
      </c>
      <c r="E31" s="3"/>
      <c r="F31" s="22"/>
      <c r="G31" s="3"/>
      <c r="H31" s="3">
        <f>--4190.44</f>
        <v>4190.4399999999996</v>
      </c>
      <c r="I31" s="3"/>
      <c r="J31" s="22"/>
      <c r="K31" s="3"/>
      <c r="L31" s="3">
        <f t="shared" si="0"/>
        <v>-4190.4399999999996</v>
      </c>
      <c r="M31" s="3"/>
      <c r="N31" s="22">
        <f t="shared" si="1"/>
        <v>-1</v>
      </c>
      <c r="O31" s="12"/>
      <c r="P31" s="3">
        <f t="shared" si="7"/>
        <v>0</v>
      </c>
      <c r="Q31" s="3"/>
      <c r="R31" s="22"/>
      <c r="S31" s="3"/>
      <c r="T31" s="3">
        <f>--4190.44</f>
        <v>4190.4399999999996</v>
      </c>
      <c r="U31" s="3"/>
      <c r="V31" s="22"/>
      <c r="W31" s="3"/>
      <c r="X31" s="3">
        <f t="shared" si="2"/>
        <v>-4190.4399999999996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"4104", " - ", "NON-TAXABLE SALES-DIGITAL TEXT")</f>
        <v xml:space="preserve">          4104 - NON-TAXABLE SALES-DIGITAL TEXT</v>
      </c>
      <c r="C32" s="12"/>
      <c r="D32" s="3">
        <f t="shared" si="6"/>
        <v>0</v>
      </c>
      <c r="E32" s="3"/>
      <c r="F32" s="22"/>
      <c r="G32" s="3"/>
      <c r="H32" s="3">
        <f>--7485.52</f>
        <v>7485.52</v>
      </c>
      <c r="I32" s="3"/>
      <c r="J32" s="22"/>
      <c r="K32" s="3"/>
      <c r="L32" s="3">
        <f t="shared" si="0"/>
        <v>-7485.52</v>
      </c>
      <c r="M32" s="3"/>
      <c r="N32" s="22">
        <f t="shared" si="1"/>
        <v>-1</v>
      </c>
      <c r="O32" s="12"/>
      <c r="P32" s="3">
        <f t="shared" si="7"/>
        <v>0</v>
      </c>
      <c r="Q32" s="3"/>
      <c r="R32" s="22"/>
      <c r="S32" s="3"/>
      <c r="T32" s="3">
        <f>--7485.52</f>
        <v>7485.52</v>
      </c>
      <c r="U32" s="3"/>
      <c r="V32" s="22"/>
      <c r="W32" s="3"/>
      <c r="X32" s="3">
        <f t="shared" si="2"/>
        <v>-7485.52</v>
      </c>
      <c r="Y32" s="3"/>
      <c r="Z32" s="22">
        <f t="shared" si="3"/>
        <v>-1</v>
      </c>
    </row>
    <row r="33" spans="1:26" s="24" customFormat="1" hidden="1" outlineLevel="1" x14ac:dyDescent="0.3">
      <c r="A33" s="50"/>
      <c r="B33" s="12" t="str">
        <f>CONCATENATE("          ", "4118", " - ", "NON-TAXABLE SALES-STUDY GUIDES")</f>
        <v xml:space="preserve">          4118 - NON-TAXABLE SALES-STUDY GUIDES</v>
      </c>
      <c r="C33" s="12"/>
      <c r="D33" s="3">
        <f t="shared" si="6"/>
        <v>0</v>
      </c>
      <c r="E33" s="3"/>
      <c r="F33" s="22"/>
      <c r="G33" s="3"/>
      <c r="H33" s="3">
        <f>--53.96</f>
        <v>53.96</v>
      </c>
      <c r="I33" s="3"/>
      <c r="J33" s="22"/>
      <c r="K33" s="3"/>
      <c r="L33" s="3">
        <f t="shared" si="0"/>
        <v>-53.96</v>
      </c>
      <c r="M33" s="3"/>
      <c r="N33" s="22">
        <f t="shared" si="1"/>
        <v>-1</v>
      </c>
      <c r="O33" s="12"/>
      <c r="P33" s="3">
        <f t="shared" si="7"/>
        <v>0</v>
      </c>
      <c r="Q33" s="3"/>
      <c r="R33" s="22"/>
      <c r="S33" s="3"/>
      <c r="T33" s="3">
        <f>--53.96</f>
        <v>53.96</v>
      </c>
      <c r="U33" s="3"/>
      <c r="V33" s="22"/>
      <c r="W33" s="3"/>
      <c r="X33" s="3">
        <f t="shared" si="2"/>
        <v>-53.96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"4126", " - ", "NON-TAXABLE SALES-WRITING INST")</f>
        <v xml:space="preserve">          4126 - NON-TAXABLE SALES-WRITING INST</v>
      </c>
      <c r="C34" s="12"/>
      <c r="D34" s="3">
        <f t="shared" si="6"/>
        <v>0</v>
      </c>
      <c r="E34" s="3"/>
      <c r="F34" s="22"/>
      <c r="G34" s="3"/>
      <c r="H34" s="3">
        <f>--52.68</f>
        <v>52.68</v>
      </c>
      <c r="I34" s="3"/>
      <c r="J34" s="22"/>
      <c r="K34" s="3"/>
      <c r="L34" s="3">
        <f t="shared" si="0"/>
        <v>-52.68</v>
      </c>
      <c r="M34" s="3"/>
      <c r="N34" s="22">
        <f t="shared" si="1"/>
        <v>-1</v>
      </c>
      <c r="O34" s="12"/>
      <c r="P34" s="3">
        <f t="shared" si="7"/>
        <v>0</v>
      </c>
      <c r="Q34" s="3"/>
      <c r="R34" s="22"/>
      <c r="S34" s="3"/>
      <c r="T34" s="3">
        <f>--52.68</f>
        <v>52.68</v>
      </c>
      <c r="U34" s="3"/>
      <c r="V34" s="22"/>
      <c r="W34" s="3"/>
      <c r="X34" s="3">
        <f t="shared" si="2"/>
        <v>-52.68</v>
      </c>
      <c r="Y34" s="3"/>
      <c r="Z34" s="22">
        <f t="shared" si="3"/>
        <v>-1</v>
      </c>
    </row>
    <row r="35" spans="1:26" s="24" customFormat="1" hidden="1" outlineLevel="1" x14ac:dyDescent="0.3">
      <c r="A35" s="50"/>
      <c r="B35" s="12" t="str">
        <f>CONCATENATE("          ", "4127", " - ", "NON-TAXABLE SALES-SCHOOL SUPPL")</f>
        <v xml:space="preserve">          4127 - NON-TAXABLE SALES-SCHOOL SUPPL</v>
      </c>
      <c r="C35" s="12"/>
      <c r="D35" s="3">
        <f t="shared" si="6"/>
        <v>0</v>
      </c>
      <c r="E35" s="3"/>
      <c r="F35" s="22"/>
      <c r="G35" s="3"/>
      <c r="H35" s="3">
        <f>--72.25</f>
        <v>72.25</v>
      </c>
      <c r="I35" s="3"/>
      <c r="J35" s="22"/>
      <c r="K35" s="3"/>
      <c r="L35" s="3">
        <f t="shared" si="0"/>
        <v>-72.25</v>
      </c>
      <c r="M35" s="3"/>
      <c r="N35" s="22">
        <f t="shared" si="1"/>
        <v>-1</v>
      </c>
      <c r="O35" s="12"/>
      <c r="P35" s="3">
        <f t="shared" si="7"/>
        <v>0</v>
      </c>
      <c r="Q35" s="3"/>
      <c r="R35" s="22"/>
      <c r="S35" s="3"/>
      <c r="T35" s="3">
        <f>--72.25</f>
        <v>72.25</v>
      </c>
      <c r="U35" s="3"/>
      <c r="V35" s="22"/>
      <c r="W35" s="3"/>
      <c r="X35" s="3">
        <f t="shared" si="2"/>
        <v>-72.25</v>
      </c>
      <c r="Y35" s="3"/>
      <c r="Z35" s="22">
        <f t="shared" si="3"/>
        <v>-1</v>
      </c>
    </row>
    <row r="36" spans="1:26" s="24" customFormat="1" hidden="1" outlineLevel="1" x14ac:dyDescent="0.3">
      <c r="A36" s="50"/>
      <c r="B36" s="12" t="str">
        <f>CONCATENATE("          ", "4131", " - ", "NON-TAXABLE SALES-FOOD")</f>
        <v xml:space="preserve">          4131 - NON-TAXABLE SALES-FOOD</v>
      </c>
      <c r="C36" s="12"/>
      <c r="D36" s="3">
        <f t="shared" si="6"/>
        <v>0</v>
      </c>
      <c r="E36" s="3"/>
      <c r="F36" s="22"/>
      <c r="G36" s="3"/>
      <c r="H36" s="3">
        <f>--259.43</f>
        <v>259.43</v>
      </c>
      <c r="I36" s="3"/>
      <c r="J36" s="22"/>
      <c r="K36" s="3"/>
      <c r="L36" s="3">
        <f t="shared" si="0"/>
        <v>-259.43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--259.43</f>
        <v>259.43</v>
      </c>
      <c r="U36" s="3"/>
      <c r="V36" s="22"/>
      <c r="W36" s="3"/>
      <c r="X36" s="3">
        <f t="shared" si="2"/>
        <v>-259.43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"4132", " - ", "NON-TAXABLE SALES-JUICE")</f>
        <v xml:space="preserve">          4132 - NON-TAXABLE SALES-JUICE</v>
      </c>
      <c r="C37" s="12"/>
      <c r="D37" s="3">
        <f t="shared" si="6"/>
        <v>0</v>
      </c>
      <c r="E37" s="3"/>
      <c r="F37" s="22"/>
      <c r="G37" s="3"/>
      <c r="H37" s="3">
        <f>--22.49</f>
        <v>22.49</v>
      </c>
      <c r="I37" s="3"/>
      <c r="J37" s="22"/>
      <c r="K37" s="3"/>
      <c r="L37" s="3">
        <f t="shared" si="0"/>
        <v>-22.49</v>
      </c>
      <c r="M37" s="3"/>
      <c r="N37" s="22">
        <f t="shared" si="1"/>
        <v>-1</v>
      </c>
      <c r="O37" s="12"/>
      <c r="P37" s="3">
        <f t="shared" si="7"/>
        <v>0</v>
      </c>
      <c r="Q37" s="3"/>
      <c r="R37" s="22"/>
      <c r="S37" s="3"/>
      <c r="T37" s="3">
        <f>--22.49</f>
        <v>22.49</v>
      </c>
      <c r="U37" s="3"/>
      <c r="V37" s="22"/>
      <c r="W37" s="3"/>
      <c r="X37" s="3">
        <f t="shared" si="2"/>
        <v>-22.49</v>
      </c>
      <c r="Y37" s="3"/>
      <c r="Z37" s="22">
        <f t="shared" si="3"/>
        <v>-1</v>
      </c>
    </row>
    <row r="38" spans="1:26" s="24" customFormat="1" hidden="1" outlineLevel="1" x14ac:dyDescent="0.3">
      <c r="A38" s="50"/>
      <c r="B38" s="12" t="str">
        <f>CONCATENATE("          ", "4133", " - ", "NON-TAXABLE SALES-CANDY")</f>
        <v xml:space="preserve">          4133 - NON-TAXABLE SALES-CANDY</v>
      </c>
      <c r="C38" s="12"/>
      <c r="D38" s="3">
        <f t="shared" si="6"/>
        <v>0</v>
      </c>
      <c r="E38" s="3"/>
      <c r="F38" s="22"/>
      <c r="G38" s="3"/>
      <c r="H38" s="3">
        <f>--68.28</f>
        <v>68.28</v>
      </c>
      <c r="I38" s="3"/>
      <c r="J38" s="22"/>
      <c r="K38" s="3"/>
      <c r="L38" s="3">
        <f t="shared" si="0"/>
        <v>-68.28</v>
      </c>
      <c r="M38" s="3"/>
      <c r="N38" s="22">
        <f t="shared" si="1"/>
        <v>-1</v>
      </c>
      <c r="O38" s="12"/>
      <c r="P38" s="3">
        <f t="shared" si="7"/>
        <v>0</v>
      </c>
      <c r="Q38" s="3"/>
      <c r="R38" s="22"/>
      <c r="S38" s="3"/>
      <c r="T38" s="3">
        <f>--68.28</f>
        <v>68.28</v>
      </c>
      <c r="U38" s="3"/>
      <c r="V38" s="22"/>
      <c r="W38" s="3"/>
      <c r="X38" s="3">
        <f t="shared" si="2"/>
        <v>-68.28</v>
      </c>
      <c r="Y38" s="3"/>
      <c r="Z38" s="22">
        <f t="shared" si="3"/>
        <v>-1</v>
      </c>
    </row>
    <row r="39" spans="1:26" s="24" customFormat="1" hidden="1" outlineLevel="1" x14ac:dyDescent="0.3">
      <c r="A39" s="50"/>
      <c r="B39" s="12" t="str">
        <f>CONCATENATE("          ", "4134", " - ", "NON-TAXABLE SALES-SODA")</f>
        <v xml:space="preserve">          4134 - NON-TAXABLE SALES-SODA</v>
      </c>
      <c r="C39" s="12"/>
      <c r="D39" s="3">
        <f t="shared" si="6"/>
        <v>0</v>
      </c>
      <c r="E39" s="3"/>
      <c r="F39" s="22"/>
      <c r="G39" s="3"/>
      <c r="H39" s="3">
        <f>--45.53</f>
        <v>45.53</v>
      </c>
      <c r="I39" s="3"/>
      <c r="J39" s="22"/>
      <c r="K39" s="3"/>
      <c r="L39" s="3">
        <f t="shared" si="0"/>
        <v>-45.53</v>
      </c>
      <c r="M39" s="3"/>
      <c r="N39" s="22">
        <f t="shared" si="1"/>
        <v>-1</v>
      </c>
      <c r="O39" s="12"/>
      <c r="P39" s="3">
        <f t="shared" si="7"/>
        <v>0</v>
      </c>
      <c r="Q39" s="3"/>
      <c r="R39" s="22"/>
      <c r="S39" s="3"/>
      <c r="T39" s="3">
        <f>--45.53</f>
        <v>45.53</v>
      </c>
      <c r="U39" s="3"/>
      <c r="V39" s="22"/>
      <c r="W39" s="3"/>
      <c r="X39" s="3">
        <f t="shared" si="2"/>
        <v>-45.53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"4137", " - ", "NON-TAXABLE SALES-WATER")</f>
        <v xml:space="preserve">          4137 - NON-TAXABLE SALES-WATER</v>
      </c>
      <c r="C40" s="12"/>
      <c r="D40" s="3">
        <f t="shared" si="6"/>
        <v>0</v>
      </c>
      <c r="E40" s="3"/>
      <c r="F40" s="22"/>
      <c r="G40" s="3"/>
      <c r="H40" s="3">
        <f>--68.25</f>
        <v>68.25</v>
      </c>
      <c r="I40" s="3"/>
      <c r="J40" s="22"/>
      <c r="K40" s="3"/>
      <c r="L40" s="3">
        <f t="shared" si="0"/>
        <v>-68.25</v>
      </c>
      <c r="M40" s="3"/>
      <c r="N40" s="22">
        <f t="shared" si="1"/>
        <v>-1</v>
      </c>
      <c r="O40" s="12"/>
      <c r="P40" s="3">
        <f t="shared" si="7"/>
        <v>0</v>
      </c>
      <c r="Q40" s="3"/>
      <c r="R40" s="22"/>
      <c r="S40" s="3"/>
      <c r="T40" s="3">
        <f>--68.25</f>
        <v>68.25</v>
      </c>
      <c r="U40" s="3"/>
      <c r="V40" s="22"/>
      <c r="W40" s="3"/>
      <c r="X40" s="3">
        <f t="shared" si="2"/>
        <v>-68.25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"4140", " - ", "NON-TAXABLE SALES-LOGO CLOTHIN")</f>
        <v xml:space="preserve">          4140 - NON-TAXABLE SALES-LOGO CLOTHIN</v>
      </c>
      <c r="C41" s="12"/>
      <c r="D41" s="3">
        <f t="shared" si="6"/>
        <v>0</v>
      </c>
      <c r="E41" s="3"/>
      <c r="F41" s="22"/>
      <c r="G41" s="3"/>
      <c r="H41" s="3">
        <f>--6846.24</f>
        <v>6846.24</v>
      </c>
      <c r="I41" s="3"/>
      <c r="J41" s="22"/>
      <c r="K41" s="3"/>
      <c r="L41" s="3">
        <f t="shared" si="0"/>
        <v>-6846.24</v>
      </c>
      <c r="M41" s="3"/>
      <c r="N41" s="22">
        <f t="shared" si="1"/>
        <v>-1</v>
      </c>
      <c r="O41" s="12"/>
      <c r="P41" s="3">
        <f t="shared" si="7"/>
        <v>0</v>
      </c>
      <c r="Q41" s="3"/>
      <c r="R41" s="22"/>
      <c r="S41" s="3"/>
      <c r="T41" s="3">
        <f>--6846.24</f>
        <v>6846.24</v>
      </c>
      <c r="U41" s="3"/>
      <c r="V41" s="22"/>
      <c r="W41" s="3"/>
      <c r="X41" s="3">
        <f t="shared" si="2"/>
        <v>-6846.24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"4141", " - ", "NON-TAXABLE SALES-LOGO GIFTS")</f>
        <v xml:space="preserve">          4141 - NON-TAXABLE SALES-LOGO GIFTS</v>
      </c>
      <c r="C42" s="12"/>
      <c r="D42" s="3">
        <f t="shared" si="6"/>
        <v>0</v>
      </c>
      <c r="E42" s="3"/>
      <c r="F42" s="22"/>
      <c r="G42" s="3"/>
      <c r="H42" s="3">
        <f>--1200.19</f>
        <v>1200.19</v>
      </c>
      <c r="I42" s="3"/>
      <c r="J42" s="22"/>
      <c r="K42" s="3"/>
      <c r="L42" s="3">
        <f t="shared" si="0"/>
        <v>-1200.19</v>
      </c>
      <c r="M42" s="3"/>
      <c r="N42" s="22">
        <f t="shared" si="1"/>
        <v>-1</v>
      </c>
      <c r="O42" s="12"/>
      <c r="P42" s="3">
        <f t="shared" si="7"/>
        <v>0</v>
      </c>
      <c r="Q42" s="3"/>
      <c r="R42" s="22"/>
      <c r="S42" s="3"/>
      <c r="T42" s="3">
        <f>--1200.19</f>
        <v>1200.19</v>
      </c>
      <c r="U42" s="3"/>
      <c r="V42" s="22"/>
      <c r="W42" s="3"/>
      <c r="X42" s="3">
        <f t="shared" si="2"/>
        <v>-1200.19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"4142", " - ", "NON-TAXABLE SALES-EVERYDAY GIF")</f>
        <v xml:space="preserve">          4142 - NON-TAXABLE SALES-EVERYDAY GIF</v>
      </c>
      <c r="C43" s="12"/>
      <c r="D43" s="3">
        <f t="shared" si="6"/>
        <v>0</v>
      </c>
      <c r="E43" s="3"/>
      <c r="F43" s="22"/>
      <c r="G43" s="3"/>
      <c r="H43" s="3">
        <f>--640.17</f>
        <v>640.16999999999996</v>
      </c>
      <c r="I43" s="3"/>
      <c r="J43" s="22"/>
      <c r="K43" s="3"/>
      <c r="L43" s="3">
        <f t="shared" si="0"/>
        <v>-640.16999999999996</v>
      </c>
      <c r="M43" s="3"/>
      <c r="N43" s="22">
        <f t="shared" si="1"/>
        <v>-1</v>
      </c>
      <c r="O43" s="12"/>
      <c r="P43" s="3">
        <f t="shared" si="7"/>
        <v>0</v>
      </c>
      <c r="Q43" s="3"/>
      <c r="R43" s="22"/>
      <c r="S43" s="3"/>
      <c r="T43" s="3">
        <f>--640.17</f>
        <v>640.16999999999996</v>
      </c>
      <c r="U43" s="3"/>
      <c r="V43" s="22"/>
      <c r="W43" s="3"/>
      <c r="X43" s="3">
        <f t="shared" si="2"/>
        <v>-640.16999999999996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"4144", " - ", "NON-TAXABLE SALES-ACCESSORIES")</f>
        <v xml:space="preserve">          4144 - NON-TAXABLE SALES-ACCESSORIES</v>
      </c>
      <c r="C44" s="12"/>
      <c r="D44" s="3">
        <f t="shared" si="6"/>
        <v>0</v>
      </c>
      <c r="E44" s="3"/>
      <c r="F44" s="22"/>
      <c r="G44" s="3"/>
      <c r="H44" s="3">
        <f>--47.85</f>
        <v>47.85</v>
      </c>
      <c r="I44" s="3"/>
      <c r="J44" s="22"/>
      <c r="K44" s="3"/>
      <c r="L44" s="3">
        <f t="shared" si="0"/>
        <v>-47.85</v>
      </c>
      <c r="M44" s="3"/>
      <c r="N44" s="22">
        <f t="shared" si="1"/>
        <v>-1</v>
      </c>
      <c r="O44" s="12"/>
      <c r="P44" s="3">
        <f t="shared" si="7"/>
        <v>0</v>
      </c>
      <c r="Q44" s="3"/>
      <c r="R44" s="22"/>
      <c r="S44" s="3"/>
      <c r="T44" s="3">
        <f>--47.85</f>
        <v>47.85</v>
      </c>
      <c r="U44" s="3"/>
      <c r="V44" s="22"/>
      <c r="W44" s="3"/>
      <c r="X44" s="3">
        <f t="shared" si="2"/>
        <v>-47.85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"4145", " - ", "NON-TAXABLE SALES-SPECIAL ORDE")</f>
        <v xml:space="preserve">          4145 - NON-TAXABLE SALES-SPECIAL ORDE</v>
      </c>
      <c r="C45" s="12"/>
      <c r="D45" s="3">
        <f t="shared" si="6"/>
        <v>0</v>
      </c>
      <c r="E45" s="3"/>
      <c r="F45" s="22"/>
      <c r="G45" s="3"/>
      <c r="H45" s="3">
        <f>--35496</f>
        <v>35496</v>
      </c>
      <c r="I45" s="3"/>
      <c r="J45" s="22"/>
      <c r="K45" s="3"/>
      <c r="L45" s="3">
        <f t="shared" si="0"/>
        <v>-35496</v>
      </c>
      <c r="M45" s="3"/>
      <c r="N45" s="22">
        <f t="shared" si="1"/>
        <v>-1</v>
      </c>
      <c r="O45" s="12"/>
      <c r="P45" s="3">
        <f t="shared" si="7"/>
        <v>0</v>
      </c>
      <c r="Q45" s="3"/>
      <c r="R45" s="22"/>
      <c r="S45" s="3"/>
      <c r="T45" s="3">
        <f>--35496</f>
        <v>35496</v>
      </c>
      <c r="U45" s="3"/>
      <c r="V45" s="22"/>
      <c r="W45" s="3"/>
      <c r="X45" s="3">
        <f t="shared" si="2"/>
        <v>-35496</v>
      </c>
      <c r="Y45" s="3"/>
      <c r="Z45" s="22">
        <f t="shared" si="3"/>
        <v>-1</v>
      </c>
    </row>
    <row r="46" spans="1:26" s="24" customFormat="1" hidden="1" outlineLevel="1" x14ac:dyDescent="0.3">
      <c r="A46" s="50"/>
      <c r="B46" s="12" t="str">
        <f>CONCATENATE("          ", "4146", " - ", "NON-TAXABLE SALES-COIN OP MACH")</f>
        <v xml:space="preserve">          4146 - NON-TAXABLE SALES-COIN OP MACH</v>
      </c>
      <c r="C46" s="12"/>
      <c r="D46" s="3">
        <f>--20.2</f>
        <v>20.2</v>
      </c>
      <c r="E46" s="3"/>
      <c r="F46" s="22"/>
      <c r="G46" s="3"/>
      <c r="H46" s="3">
        <f>0</f>
        <v>0</v>
      </c>
      <c r="I46" s="3"/>
      <c r="J46" s="22"/>
      <c r="K46" s="3"/>
      <c r="L46" s="3">
        <f t="shared" si="0"/>
        <v>20.2</v>
      </c>
      <c r="M46" s="3"/>
      <c r="N46" s="22">
        <f t="shared" si="1"/>
        <v>0</v>
      </c>
      <c r="O46" s="12"/>
      <c r="P46" s="3">
        <f>--20.2</f>
        <v>20.2</v>
      </c>
      <c r="Q46" s="3"/>
      <c r="R46" s="22"/>
      <c r="S46" s="3"/>
      <c r="T46" s="3">
        <f>0</f>
        <v>0</v>
      </c>
      <c r="U46" s="3"/>
      <c r="V46" s="22"/>
      <c r="W46" s="3"/>
      <c r="X46" s="3">
        <f t="shared" si="2"/>
        <v>20.2</v>
      </c>
      <c r="Y46" s="3"/>
      <c r="Z46" s="22">
        <f t="shared" si="3"/>
        <v>0</v>
      </c>
    </row>
    <row r="47" spans="1:26" s="24" customFormat="1" hidden="1" outlineLevel="1" x14ac:dyDescent="0.3">
      <c r="A47" s="50"/>
      <c r="B47" s="12" t="str">
        <f>CONCATENATE("          ", "4147", " - ", "NON-TAXABLE SALES-MISC")</f>
        <v xml:space="preserve">          4147 - NON-TAXABLE SALES-MISC</v>
      </c>
      <c r="C47" s="12"/>
      <c r="D47" s="3">
        <f>0</f>
        <v>0</v>
      </c>
      <c r="E47" s="3"/>
      <c r="F47" s="22"/>
      <c r="G47" s="3"/>
      <c r="H47" s="3">
        <f>--1</f>
        <v>1</v>
      </c>
      <c r="I47" s="3"/>
      <c r="J47" s="22"/>
      <c r="K47" s="3"/>
      <c r="L47" s="3">
        <f t="shared" si="0"/>
        <v>-1</v>
      </c>
      <c r="M47" s="3"/>
      <c r="N47" s="22">
        <f t="shared" si="1"/>
        <v>-1</v>
      </c>
      <c r="O47" s="12"/>
      <c r="P47" s="3">
        <f>0</f>
        <v>0</v>
      </c>
      <c r="Q47" s="3"/>
      <c r="R47" s="22"/>
      <c r="S47" s="3"/>
      <c r="T47" s="3">
        <f>--1</f>
        <v>1</v>
      </c>
      <c r="U47" s="3"/>
      <c r="V47" s="22"/>
      <c r="W47" s="3"/>
      <c r="X47" s="3">
        <f t="shared" si="2"/>
        <v>-1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"4200", " - ", "TAXABLE RETURNS")</f>
        <v xml:space="preserve">          4200 - TAXABLE RETURNS</v>
      </c>
      <c r="C48" s="12"/>
      <c r="D48" s="3">
        <f>-5566.27</f>
        <v>-5566.27</v>
      </c>
      <c r="E48" s="3"/>
      <c r="F48" s="22"/>
      <c r="G48" s="3"/>
      <c r="H48" s="3">
        <f>0</f>
        <v>0</v>
      </c>
      <c r="I48" s="3"/>
      <c r="J48" s="22"/>
      <c r="K48" s="3"/>
      <c r="L48" s="3">
        <f t="shared" si="0"/>
        <v>-5566.27</v>
      </c>
      <c r="M48" s="3"/>
      <c r="N48" s="22">
        <f t="shared" si="1"/>
        <v>0</v>
      </c>
      <c r="O48" s="12"/>
      <c r="P48" s="3">
        <f>-5566.27</f>
        <v>-5566.27</v>
      </c>
      <c r="Q48" s="3"/>
      <c r="R48" s="22"/>
      <c r="S48" s="3"/>
      <c r="T48" s="3">
        <f>0</f>
        <v>0</v>
      </c>
      <c r="U48" s="3"/>
      <c r="V48" s="22"/>
      <c r="W48" s="3"/>
      <c r="X48" s="3">
        <f t="shared" si="2"/>
        <v>-5566.27</v>
      </c>
      <c r="Y48" s="3"/>
      <c r="Z48" s="22">
        <f t="shared" si="3"/>
        <v>0</v>
      </c>
    </row>
    <row r="49" spans="1:26" s="24" customFormat="1" hidden="1" outlineLevel="1" x14ac:dyDescent="0.3">
      <c r="A49" s="50"/>
      <c r="B49" s="12" t="str">
        <f>CONCATENATE("          ", "4201", " - ", "SALES RETURN TAXABLE-NEW TEXT")</f>
        <v xml:space="preserve">          4201 - SALES RETURN TAXABLE-NEW TEXT</v>
      </c>
      <c r="C49" s="12"/>
      <c r="D49" s="3">
        <f t="shared" ref="D49:D56" si="8">0</f>
        <v>0</v>
      </c>
      <c r="E49" s="3"/>
      <c r="F49" s="22"/>
      <c r="G49" s="3"/>
      <c r="H49" s="3">
        <f>-633.4</f>
        <v>-633.4</v>
      </c>
      <c r="I49" s="3"/>
      <c r="J49" s="22"/>
      <c r="K49" s="3"/>
      <c r="L49" s="3">
        <f t="shared" si="0"/>
        <v>633.4</v>
      </c>
      <c r="M49" s="3"/>
      <c r="N49" s="22">
        <f t="shared" si="1"/>
        <v>-1</v>
      </c>
      <c r="O49" s="12"/>
      <c r="P49" s="3">
        <f t="shared" ref="P49:P56" si="9">0</f>
        <v>0</v>
      </c>
      <c r="Q49" s="3"/>
      <c r="R49" s="22"/>
      <c r="S49" s="3"/>
      <c r="T49" s="3">
        <f>-633.4</f>
        <v>-633.4</v>
      </c>
      <c r="U49" s="3"/>
      <c r="V49" s="22"/>
      <c r="W49" s="3"/>
      <c r="X49" s="3">
        <f t="shared" si="2"/>
        <v>633.4</v>
      </c>
      <c r="Y49" s="3"/>
      <c r="Z49" s="22">
        <f t="shared" si="3"/>
        <v>-1</v>
      </c>
    </row>
    <row r="50" spans="1:26" s="24" customFormat="1" hidden="1" outlineLevel="1" x14ac:dyDescent="0.3">
      <c r="A50" s="50"/>
      <c r="B50" s="12" t="str">
        <f>CONCATENATE("          ", "4202", " - ", "SALES RETURN TAXABLE-USED TEXT")</f>
        <v xml:space="preserve">          4202 - SALES RETURN TAXABLE-USED TEXT</v>
      </c>
      <c r="C50" s="12"/>
      <c r="D50" s="3">
        <f t="shared" si="8"/>
        <v>0</v>
      </c>
      <c r="E50" s="3"/>
      <c r="F50" s="22"/>
      <c r="G50" s="3"/>
      <c r="H50" s="3">
        <f>-178.35</f>
        <v>-178.35</v>
      </c>
      <c r="I50" s="3"/>
      <c r="J50" s="22"/>
      <c r="K50" s="3"/>
      <c r="L50" s="3">
        <f t="shared" si="0"/>
        <v>178.35</v>
      </c>
      <c r="M50" s="3"/>
      <c r="N50" s="22">
        <f t="shared" si="1"/>
        <v>-1</v>
      </c>
      <c r="O50" s="12"/>
      <c r="P50" s="3">
        <f t="shared" si="9"/>
        <v>0</v>
      </c>
      <c r="Q50" s="3"/>
      <c r="R50" s="22"/>
      <c r="S50" s="3"/>
      <c r="T50" s="3">
        <f>-178.35</f>
        <v>-178.35</v>
      </c>
      <c r="U50" s="3"/>
      <c r="V50" s="22"/>
      <c r="W50" s="3"/>
      <c r="X50" s="3">
        <f t="shared" si="2"/>
        <v>178.35</v>
      </c>
      <c r="Y50" s="3"/>
      <c r="Z50" s="22">
        <f t="shared" si="3"/>
        <v>-1</v>
      </c>
    </row>
    <row r="51" spans="1:26" s="24" customFormat="1" hidden="1" outlineLevel="1" x14ac:dyDescent="0.3">
      <c r="A51" s="50"/>
      <c r="B51" s="12" t="str">
        <f>CONCATENATE("          ", "4226", " - ", "SALES RETURN TAXABLE-WRITING I")</f>
        <v xml:space="preserve">          4226 - SALES RETURN TAXABLE-WRITING I</v>
      </c>
      <c r="C51" s="12"/>
      <c r="D51" s="3">
        <f t="shared" si="8"/>
        <v>0</v>
      </c>
      <c r="E51" s="3"/>
      <c r="F51" s="22"/>
      <c r="G51" s="3"/>
      <c r="H51" s="3">
        <f>-6.38</f>
        <v>-6.38</v>
      </c>
      <c r="I51" s="3"/>
      <c r="J51" s="22"/>
      <c r="K51" s="3"/>
      <c r="L51" s="3">
        <f t="shared" si="0"/>
        <v>6.38</v>
      </c>
      <c r="M51" s="3"/>
      <c r="N51" s="22">
        <f t="shared" si="1"/>
        <v>-1</v>
      </c>
      <c r="O51" s="12"/>
      <c r="P51" s="3">
        <f t="shared" si="9"/>
        <v>0</v>
      </c>
      <c r="Q51" s="3"/>
      <c r="R51" s="22"/>
      <c r="S51" s="3"/>
      <c r="T51" s="3">
        <f>-6.38</f>
        <v>-6.38</v>
      </c>
      <c r="U51" s="3"/>
      <c r="V51" s="22"/>
      <c r="W51" s="3"/>
      <c r="X51" s="3">
        <f t="shared" si="2"/>
        <v>6.38</v>
      </c>
      <c r="Y51" s="3"/>
      <c r="Z51" s="22">
        <f t="shared" si="3"/>
        <v>-1</v>
      </c>
    </row>
    <row r="52" spans="1:26" s="24" customFormat="1" hidden="1" outlineLevel="1" x14ac:dyDescent="0.3">
      <c r="A52" s="50"/>
      <c r="B52" s="12" t="str">
        <f>CONCATENATE("          ", "4227", " - ", "SALES RETURN TAXABLE-SCHOOL SU")</f>
        <v xml:space="preserve">          4227 - SALES RETURN TAXABLE-SCHOOL SU</v>
      </c>
      <c r="C52" s="12"/>
      <c r="D52" s="3">
        <f t="shared" si="8"/>
        <v>0</v>
      </c>
      <c r="E52" s="3"/>
      <c r="F52" s="22"/>
      <c r="G52" s="3"/>
      <c r="H52" s="3">
        <f>-56.77</f>
        <v>-56.77</v>
      </c>
      <c r="I52" s="3"/>
      <c r="J52" s="22"/>
      <c r="K52" s="3"/>
      <c r="L52" s="3">
        <f t="shared" si="0"/>
        <v>56.77</v>
      </c>
      <c r="M52" s="3"/>
      <c r="N52" s="22">
        <f t="shared" si="1"/>
        <v>-1</v>
      </c>
      <c r="O52" s="12"/>
      <c r="P52" s="3">
        <f t="shared" si="9"/>
        <v>0</v>
      </c>
      <c r="Q52" s="3"/>
      <c r="R52" s="22"/>
      <c r="S52" s="3"/>
      <c r="T52" s="3">
        <f>-56.77</f>
        <v>-56.77</v>
      </c>
      <c r="U52" s="3"/>
      <c r="V52" s="22"/>
      <c r="W52" s="3"/>
      <c r="X52" s="3">
        <f t="shared" si="2"/>
        <v>56.77</v>
      </c>
      <c r="Y52" s="3"/>
      <c r="Z52" s="22">
        <f t="shared" si="3"/>
        <v>-1</v>
      </c>
    </row>
    <row r="53" spans="1:26" s="24" customFormat="1" hidden="1" outlineLevel="1" x14ac:dyDescent="0.3">
      <c r="A53" s="50"/>
      <c r="B53" s="12" t="str">
        <f>CONCATENATE("          ", "4240", " - ", "SALES RETURN TAXABLE-LOGO CLOT")</f>
        <v xml:space="preserve">          4240 - SALES RETURN TAXABLE-LOGO CLOT</v>
      </c>
      <c r="C53" s="12"/>
      <c r="D53" s="3">
        <f t="shared" si="8"/>
        <v>0</v>
      </c>
      <c r="E53" s="3"/>
      <c r="F53" s="22"/>
      <c r="G53" s="3"/>
      <c r="H53" s="3">
        <f>-3368.1</f>
        <v>-3368.1</v>
      </c>
      <c r="I53" s="3"/>
      <c r="J53" s="22"/>
      <c r="K53" s="3"/>
      <c r="L53" s="3">
        <f t="shared" si="0"/>
        <v>3368.1</v>
      </c>
      <c r="M53" s="3"/>
      <c r="N53" s="22">
        <f t="shared" si="1"/>
        <v>-1</v>
      </c>
      <c r="O53" s="12"/>
      <c r="P53" s="3">
        <f t="shared" si="9"/>
        <v>0</v>
      </c>
      <c r="Q53" s="3"/>
      <c r="R53" s="22"/>
      <c r="S53" s="3"/>
      <c r="T53" s="3">
        <f>-3368.1</f>
        <v>-3368.1</v>
      </c>
      <c r="U53" s="3"/>
      <c r="V53" s="22"/>
      <c r="W53" s="3"/>
      <c r="X53" s="3">
        <f t="shared" si="2"/>
        <v>3368.1</v>
      </c>
      <c r="Y53" s="3"/>
      <c r="Z53" s="22">
        <f t="shared" si="3"/>
        <v>-1</v>
      </c>
    </row>
    <row r="54" spans="1:26" s="24" customFormat="1" hidden="1" outlineLevel="1" x14ac:dyDescent="0.3">
      <c r="A54" s="50"/>
      <c r="B54" s="12" t="str">
        <f>CONCATENATE("          ", "4241", " - ", "SALES RETURN TAXABLE-LOGO GIFT")</f>
        <v xml:space="preserve">          4241 - SALES RETURN TAXABLE-LOGO GIFT</v>
      </c>
      <c r="C54" s="12"/>
      <c r="D54" s="3">
        <f t="shared" si="8"/>
        <v>0</v>
      </c>
      <c r="E54" s="3"/>
      <c r="F54" s="22"/>
      <c r="G54" s="3"/>
      <c r="H54" s="3">
        <f>-341.98</f>
        <v>-341.98</v>
      </c>
      <c r="I54" s="3"/>
      <c r="J54" s="22"/>
      <c r="K54" s="3"/>
      <c r="L54" s="3">
        <f t="shared" si="0"/>
        <v>341.98</v>
      </c>
      <c r="M54" s="3"/>
      <c r="N54" s="22">
        <f t="shared" si="1"/>
        <v>-1</v>
      </c>
      <c r="O54" s="12"/>
      <c r="P54" s="3">
        <f t="shared" si="9"/>
        <v>0</v>
      </c>
      <c r="Q54" s="3"/>
      <c r="R54" s="22"/>
      <c r="S54" s="3"/>
      <c r="T54" s="3">
        <f>-341.98</f>
        <v>-341.98</v>
      </c>
      <c r="U54" s="3"/>
      <c r="V54" s="22"/>
      <c r="W54" s="3"/>
      <c r="X54" s="3">
        <f t="shared" si="2"/>
        <v>341.98</v>
      </c>
      <c r="Y54" s="3"/>
      <c r="Z54" s="22">
        <f t="shared" si="3"/>
        <v>-1</v>
      </c>
    </row>
    <row r="55" spans="1:26" s="24" customFormat="1" hidden="1" outlineLevel="1" x14ac:dyDescent="0.3">
      <c r="A55" s="50"/>
      <c r="B55" s="12" t="str">
        <f>CONCATENATE("          ", "4242", " - ", "SALES RETURN TAXABLE-EVERYDAY")</f>
        <v xml:space="preserve">          4242 - SALES RETURN TAXABLE-EVERYDAY</v>
      </c>
      <c r="C55" s="12"/>
      <c r="D55" s="3">
        <f t="shared" si="8"/>
        <v>0</v>
      </c>
      <c r="E55" s="3"/>
      <c r="F55" s="22"/>
      <c r="G55" s="3"/>
      <c r="H55" s="3">
        <f>-178.96</f>
        <v>-178.96</v>
      </c>
      <c r="I55" s="3"/>
      <c r="J55" s="22"/>
      <c r="K55" s="3"/>
      <c r="L55" s="3">
        <f t="shared" si="0"/>
        <v>178.96</v>
      </c>
      <c r="M55" s="3"/>
      <c r="N55" s="22">
        <f t="shared" si="1"/>
        <v>-1</v>
      </c>
      <c r="O55" s="12"/>
      <c r="P55" s="3">
        <f t="shared" si="9"/>
        <v>0</v>
      </c>
      <c r="Q55" s="3"/>
      <c r="R55" s="22"/>
      <c r="S55" s="3"/>
      <c r="T55" s="3">
        <f>-178.96</f>
        <v>-178.96</v>
      </c>
      <c r="U55" s="3"/>
      <c r="V55" s="22"/>
      <c r="W55" s="3"/>
      <c r="X55" s="3">
        <f t="shared" si="2"/>
        <v>178.96</v>
      </c>
      <c r="Y55" s="3"/>
      <c r="Z55" s="22">
        <f t="shared" si="3"/>
        <v>-1</v>
      </c>
    </row>
    <row r="56" spans="1:26" s="24" customFormat="1" hidden="1" outlineLevel="1" x14ac:dyDescent="0.3">
      <c r="A56" s="50"/>
      <c r="B56" s="12" t="str">
        <f>CONCATENATE("          ", "4245", " - ", "SALES RETURN TAXABLE-SPECIAL O")</f>
        <v xml:space="preserve">          4245 - SALES RETURN TAXABLE-SPECIAL O</v>
      </c>
      <c r="C56" s="12"/>
      <c r="D56" s="3">
        <f t="shared" si="8"/>
        <v>0</v>
      </c>
      <c r="E56" s="3"/>
      <c r="F56" s="22"/>
      <c r="G56" s="3"/>
      <c r="H56" s="3">
        <f>-1121</f>
        <v>-1121</v>
      </c>
      <c r="I56" s="3"/>
      <c r="J56" s="22"/>
      <c r="K56" s="3"/>
      <c r="L56" s="3">
        <f t="shared" si="0"/>
        <v>1121</v>
      </c>
      <c r="M56" s="3"/>
      <c r="N56" s="22">
        <f t="shared" si="1"/>
        <v>-1</v>
      </c>
      <c r="O56" s="12"/>
      <c r="P56" s="3">
        <f t="shared" si="9"/>
        <v>0</v>
      </c>
      <c r="Q56" s="3"/>
      <c r="R56" s="22"/>
      <c r="S56" s="3"/>
      <c r="T56" s="3">
        <f>-1121</f>
        <v>-1121</v>
      </c>
      <c r="U56" s="3"/>
      <c r="V56" s="22"/>
      <c r="W56" s="3"/>
      <c r="X56" s="3">
        <f t="shared" si="2"/>
        <v>1121</v>
      </c>
      <c r="Y56" s="3"/>
      <c r="Z56" s="22">
        <f t="shared" si="3"/>
        <v>-1</v>
      </c>
    </row>
    <row r="57" spans="1:26" s="24" customFormat="1" hidden="1" outlineLevel="1" x14ac:dyDescent="0.3">
      <c r="A57" s="50"/>
      <c r="B57" s="12" t="str">
        <f>CONCATENATE("          ", "4300", " - ", "NON-TAX RETURNS")</f>
        <v xml:space="preserve">          4300 - NON-TAX RETURNS</v>
      </c>
      <c r="C57" s="12"/>
      <c r="D57" s="3">
        <f>-1102.58</f>
        <v>-1102.58</v>
      </c>
      <c r="E57" s="3"/>
      <c r="F57" s="22"/>
      <c r="G57" s="3"/>
      <c r="H57" s="3">
        <f>0</f>
        <v>0</v>
      </c>
      <c r="I57" s="3"/>
      <c r="J57" s="22"/>
      <c r="K57" s="3"/>
      <c r="L57" s="3">
        <f t="shared" si="0"/>
        <v>-1102.58</v>
      </c>
      <c r="M57" s="3"/>
      <c r="N57" s="22">
        <f t="shared" si="1"/>
        <v>0</v>
      </c>
      <c r="O57" s="12"/>
      <c r="P57" s="3">
        <f>-1102.58</f>
        <v>-1102.58</v>
      </c>
      <c r="Q57" s="3"/>
      <c r="R57" s="22"/>
      <c r="S57" s="3"/>
      <c r="T57" s="3">
        <f>0</f>
        <v>0</v>
      </c>
      <c r="U57" s="3"/>
      <c r="V57" s="22"/>
      <c r="W57" s="3"/>
      <c r="X57" s="3">
        <f t="shared" si="2"/>
        <v>-1102.58</v>
      </c>
      <c r="Y57" s="3"/>
      <c r="Z57" s="22">
        <f t="shared" si="3"/>
        <v>0</v>
      </c>
    </row>
    <row r="58" spans="1:26" s="24" customFormat="1" hidden="1" outlineLevel="1" x14ac:dyDescent="0.3">
      <c r="A58" s="50"/>
      <c r="B58" s="12" t="str">
        <f>CONCATENATE("          ", "4302", " - ", "SALES RETURN NON TAXABLE-TEXT")</f>
        <v xml:space="preserve">          4302 - SALES RETURN NON TAXABLE-TEXT</v>
      </c>
      <c r="C58" s="12"/>
      <c r="D58" s="3">
        <f t="shared" ref="D58:D62" si="10">0</f>
        <v>0</v>
      </c>
      <c r="E58" s="3"/>
      <c r="F58" s="22"/>
      <c r="G58" s="3"/>
      <c r="H58" s="3">
        <f>-63.67</f>
        <v>-63.67</v>
      </c>
      <c r="I58" s="3"/>
      <c r="J58" s="22"/>
      <c r="K58" s="3"/>
      <c r="L58" s="3">
        <f t="shared" si="0"/>
        <v>63.67</v>
      </c>
      <c r="M58" s="3"/>
      <c r="N58" s="22">
        <f t="shared" si="1"/>
        <v>-1</v>
      </c>
      <c r="O58" s="12"/>
      <c r="P58" s="3">
        <f t="shared" ref="P58:P62" si="11">0</f>
        <v>0</v>
      </c>
      <c r="Q58" s="3"/>
      <c r="R58" s="22"/>
      <c r="S58" s="3"/>
      <c r="T58" s="3">
        <f>-63.67</f>
        <v>-63.67</v>
      </c>
      <c r="U58" s="3"/>
      <c r="V58" s="22"/>
      <c r="W58" s="3"/>
      <c r="X58" s="3">
        <f t="shared" si="2"/>
        <v>63.67</v>
      </c>
      <c r="Y58" s="3"/>
      <c r="Z58" s="22">
        <f t="shared" si="3"/>
        <v>-1</v>
      </c>
    </row>
    <row r="59" spans="1:26" s="24" customFormat="1" hidden="1" outlineLevel="1" x14ac:dyDescent="0.3">
      <c r="A59" s="50"/>
      <c r="B59" s="12" t="str">
        <f>CONCATENATE("          ", "4304", " - ", "SALES RETURN NON TAXABLE-DIGIT")</f>
        <v xml:space="preserve">          4304 - SALES RETURN NON TAXABLE-DIGIT</v>
      </c>
      <c r="C59" s="12"/>
      <c r="D59" s="3">
        <f t="shared" si="10"/>
        <v>0</v>
      </c>
      <c r="E59" s="3"/>
      <c r="F59" s="22"/>
      <c r="G59" s="3"/>
      <c r="H59" s="3">
        <f>-452.05</f>
        <v>-452.05</v>
      </c>
      <c r="I59" s="3"/>
      <c r="J59" s="22"/>
      <c r="K59" s="3"/>
      <c r="L59" s="3">
        <f t="shared" si="0"/>
        <v>452.05</v>
      </c>
      <c r="M59" s="3"/>
      <c r="N59" s="22">
        <f t="shared" si="1"/>
        <v>-1</v>
      </c>
      <c r="O59" s="12"/>
      <c r="P59" s="3">
        <f t="shared" si="11"/>
        <v>0</v>
      </c>
      <c r="Q59" s="3"/>
      <c r="R59" s="22"/>
      <c r="S59" s="3"/>
      <c r="T59" s="3">
        <f>-452.05</f>
        <v>-452.05</v>
      </c>
      <c r="U59" s="3"/>
      <c r="V59" s="22"/>
      <c r="W59" s="3"/>
      <c r="X59" s="3">
        <f t="shared" si="2"/>
        <v>452.05</v>
      </c>
      <c r="Y59" s="3"/>
      <c r="Z59" s="22">
        <f t="shared" si="3"/>
        <v>-1</v>
      </c>
    </row>
    <row r="60" spans="1:26" s="24" customFormat="1" hidden="1" outlineLevel="1" x14ac:dyDescent="0.3">
      <c r="A60" s="50"/>
      <c r="B60" s="12" t="str">
        <f>CONCATENATE("          ", "4340", " - ", "SALES RETURN NON TAXABLE-LOGO")</f>
        <v xml:space="preserve">          4340 - SALES RETURN NON TAXABLE-LOGO</v>
      </c>
      <c r="C60" s="12"/>
      <c r="D60" s="3">
        <f t="shared" si="10"/>
        <v>0</v>
      </c>
      <c r="E60" s="3"/>
      <c r="F60" s="22"/>
      <c r="G60" s="3"/>
      <c r="H60" s="3">
        <f>-434.24</f>
        <v>-434.24</v>
      </c>
      <c r="I60" s="3"/>
      <c r="J60" s="22"/>
      <c r="K60" s="3"/>
      <c r="L60" s="3">
        <f t="shared" si="0"/>
        <v>434.24</v>
      </c>
      <c r="M60" s="3"/>
      <c r="N60" s="22">
        <f t="shared" si="1"/>
        <v>-1</v>
      </c>
      <c r="O60" s="12"/>
      <c r="P60" s="3">
        <f t="shared" si="11"/>
        <v>0</v>
      </c>
      <c r="Q60" s="3"/>
      <c r="R60" s="22"/>
      <c r="S60" s="3"/>
      <c r="T60" s="3">
        <f>-434.24</f>
        <v>-434.24</v>
      </c>
      <c r="U60" s="3"/>
      <c r="V60" s="22"/>
      <c r="W60" s="3"/>
      <c r="X60" s="3">
        <f t="shared" si="2"/>
        <v>434.24</v>
      </c>
      <c r="Y60" s="3"/>
      <c r="Z60" s="22">
        <f t="shared" si="3"/>
        <v>-1</v>
      </c>
    </row>
    <row r="61" spans="1:26" s="24" customFormat="1" hidden="1" outlineLevel="1" x14ac:dyDescent="0.3">
      <c r="A61" s="50"/>
      <c r="B61" s="12" t="str">
        <f>CONCATENATE("          ", "4341", " - ", "SALES RETURN NON TAXABLE-LOGO")</f>
        <v xml:space="preserve">          4341 - SALES RETURN NON TAXABLE-LOGO</v>
      </c>
      <c r="C61" s="12"/>
      <c r="D61" s="3">
        <f t="shared" si="10"/>
        <v>0</v>
      </c>
      <c r="E61" s="3"/>
      <c r="F61" s="22"/>
      <c r="G61" s="3"/>
      <c r="H61" s="3">
        <f>-16.95</f>
        <v>-16.95</v>
      </c>
      <c r="I61" s="3"/>
      <c r="J61" s="22"/>
      <c r="K61" s="3"/>
      <c r="L61" s="3">
        <f t="shared" si="0"/>
        <v>16.95</v>
      </c>
      <c r="M61" s="3"/>
      <c r="N61" s="22">
        <f t="shared" si="1"/>
        <v>-1</v>
      </c>
      <c r="O61" s="12"/>
      <c r="P61" s="3">
        <f t="shared" si="11"/>
        <v>0</v>
      </c>
      <c r="Q61" s="3"/>
      <c r="R61" s="22"/>
      <c r="S61" s="3"/>
      <c r="T61" s="3">
        <f>-16.95</f>
        <v>-16.95</v>
      </c>
      <c r="U61" s="3"/>
      <c r="V61" s="22"/>
      <c r="W61" s="3"/>
      <c r="X61" s="3">
        <f t="shared" si="2"/>
        <v>16.95</v>
      </c>
      <c r="Y61" s="3"/>
      <c r="Z61" s="22">
        <f t="shared" si="3"/>
        <v>-1</v>
      </c>
    </row>
    <row r="62" spans="1:26" s="24" customFormat="1" hidden="1" outlineLevel="1" x14ac:dyDescent="0.3">
      <c r="A62" s="50"/>
      <c r="B62" s="12" t="str">
        <f>CONCATENATE("          ", "4342", " - ", "SALES RETURN NON TAXABLE-EVERY")</f>
        <v xml:space="preserve">          4342 - SALES RETURN NON TAXABLE-EVERY</v>
      </c>
      <c r="C62" s="12"/>
      <c r="D62" s="3">
        <f t="shared" si="10"/>
        <v>0</v>
      </c>
      <c r="E62" s="3"/>
      <c r="F62" s="22"/>
      <c r="G62" s="3"/>
      <c r="H62" s="3">
        <f>-79.85</f>
        <v>-79.849999999999994</v>
      </c>
      <c r="I62" s="3"/>
      <c r="J62" s="22"/>
      <c r="K62" s="3"/>
      <c r="L62" s="3">
        <f t="shared" si="0"/>
        <v>79.849999999999994</v>
      </c>
      <c r="M62" s="3"/>
      <c r="N62" s="22">
        <f t="shared" si="1"/>
        <v>-1</v>
      </c>
      <c r="O62" s="12"/>
      <c r="P62" s="3">
        <f t="shared" si="11"/>
        <v>0</v>
      </c>
      <c r="Q62" s="3"/>
      <c r="R62" s="22"/>
      <c r="S62" s="3"/>
      <c r="T62" s="3">
        <f>-79.85</f>
        <v>-79.849999999999994</v>
      </c>
      <c r="U62" s="3"/>
      <c r="V62" s="22"/>
      <c r="W62" s="3"/>
      <c r="X62" s="3">
        <f t="shared" si="2"/>
        <v>79.849999999999994</v>
      </c>
      <c r="Y62" s="3"/>
      <c r="Z62" s="22">
        <f t="shared" si="3"/>
        <v>-1</v>
      </c>
    </row>
    <row r="63" spans="1:26" x14ac:dyDescent="0.3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collapsed="1" x14ac:dyDescent="0.3">
      <c r="A64" s="10"/>
      <c r="B64" s="25" t="s">
        <v>256</v>
      </c>
      <c r="C64" s="10"/>
      <c r="D64" s="4">
        <f>SUM(OSRRefD16x_0)</f>
        <v>127421.44</v>
      </c>
      <c r="E64" s="4"/>
      <c r="F64" s="11">
        <f t="shared" ref="F64:F92" si="12">IF(D$12=0,0,D64/D$12)</f>
        <v>0.57787967630759096</v>
      </c>
      <c r="G64" s="4"/>
      <c r="H64" s="4">
        <f>SUM(OSRRefH16x_0)</f>
        <v>141395.27000000002</v>
      </c>
      <c r="I64" s="4"/>
      <c r="J64" s="11">
        <f t="shared" ref="J64:J92" si="13">IF(H$12=0,0,H64/H$12)</f>
        <v>0.62106108805724169</v>
      </c>
      <c r="K64" s="4"/>
      <c r="L64" s="4">
        <f t="shared" ref="L64:L92" si="14">+D64-H64</f>
        <v>-13973.830000000016</v>
      </c>
      <c r="M64" s="4"/>
      <c r="N64" s="11">
        <f t="shared" ref="N64:N92" si="15">IF(H64=0,0,L64/H64)</f>
        <v>-9.8828129116341826E-2</v>
      </c>
      <c r="O64" s="10"/>
      <c r="P64" s="4">
        <f>SUM(OSRRefP16x_0)</f>
        <v>127421.44</v>
      </c>
      <c r="Q64" s="4"/>
      <c r="R64" s="11">
        <f t="shared" ref="R64:R92" si="16">IF(P$12=0,0,P64/P$12)</f>
        <v>0.57787967630759096</v>
      </c>
      <c r="S64" s="4"/>
      <c r="T64" s="4">
        <f>SUM(OSRRefT16x_0)</f>
        <v>141395.27000000002</v>
      </c>
      <c r="U64" s="4"/>
      <c r="V64" s="11">
        <f t="shared" ref="V64:V92" si="17">IF(T$12=0,0,T64/T$12)</f>
        <v>0.62106108805724169</v>
      </c>
      <c r="W64" s="4"/>
      <c r="X64" s="4">
        <f t="shared" ref="X64:X92" si="18">+P64-T64</f>
        <v>-13973.830000000016</v>
      </c>
      <c r="Y64" s="4"/>
      <c r="Z64" s="11">
        <f t="shared" ref="Z64:Z92" si="19">IF(T64=0,0,X64/T64)</f>
        <v>-9.8828129116341826E-2</v>
      </c>
    </row>
    <row r="65" spans="1:26" s="24" customFormat="1" hidden="1" outlineLevel="1" x14ac:dyDescent="0.3">
      <c r="A65" s="50"/>
      <c r="B65" s="12" t="str">
        <f>CONCATENATE("          ", "5000", " - ", "PURCHASES @ COST")</f>
        <v xml:space="preserve">          5000 - PURCHASES @ COST</v>
      </c>
      <c r="C65" s="12"/>
      <c r="D65" s="3">
        <v>344773.67</v>
      </c>
      <c r="E65" s="3"/>
      <c r="F65" s="22">
        <f t="shared" si="12"/>
        <v>1.5636120327864775</v>
      </c>
      <c r="G65" s="3"/>
      <c r="H65" s="3"/>
      <c r="I65" s="3"/>
      <c r="J65" s="22">
        <f t="shared" si="13"/>
        <v>0</v>
      </c>
      <c r="K65" s="3"/>
      <c r="L65" s="3">
        <f t="shared" si="14"/>
        <v>344773.67</v>
      </c>
      <c r="M65" s="3"/>
      <c r="N65" s="22">
        <f t="shared" si="15"/>
        <v>0</v>
      </c>
      <c r="O65" s="12"/>
      <c r="P65" s="3">
        <v>344773.67</v>
      </c>
      <c r="Q65" s="3"/>
      <c r="R65" s="22">
        <f t="shared" si="16"/>
        <v>1.5636120327864775</v>
      </c>
      <c r="S65" s="3"/>
      <c r="T65" s="3"/>
      <c r="U65" s="3"/>
      <c r="V65" s="22">
        <f t="shared" si="17"/>
        <v>0</v>
      </c>
      <c r="W65" s="3"/>
      <c r="X65" s="3">
        <f t="shared" si="18"/>
        <v>344773.67</v>
      </c>
      <c r="Y65" s="3"/>
      <c r="Z65" s="22">
        <f t="shared" si="19"/>
        <v>0</v>
      </c>
    </row>
    <row r="66" spans="1:26" s="24" customFormat="1" hidden="1" outlineLevel="1" x14ac:dyDescent="0.3">
      <c r="A66" s="50"/>
      <c r="B66" s="12" t="str">
        <f>CONCATENATE("          ", "5001", " - ", "PURCHASES @ COST-NEW TEXT")</f>
        <v xml:space="preserve">          5001 - PURCHASES @ COST-NEW TEXT</v>
      </c>
      <c r="C66" s="12"/>
      <c r="D66" s="3">
        <v>0</v>
      </c>
      <c r="E66" s="3"/>
      <c r="F66" s="22">
        <f t="shared" si="12"/>
        <v>0</v>
      </c>
      <c r="G66" s="3"/>
      <c r="H66" s="3">
        <v>153110.63</v>
      </c>
      <c r="I66" s="3"/>
      <c r="J66" s="22">
        <f t="shared" si="13"/>
        <v>0.67251934566785532</v>
      </c>
      <c r="K66" s="3"/>
      <c r="L66" s="3">
        <f t="shared" si="14"/>
        <v>-153110.63</v>
      </c>
      <c r="M66" s="3"/>
      <c r="N66" s="22">
        <f t="shared" si="15"/>
        <v>-1</v>
      </c>
      <c r="O66" s="12"/>
      <c r="P66" s="3">
        <v>0</v>
      </c>
      <c r="Q66" s="3"/>
      <c r="R66" s="22">
        <f t="shared" si="16"/>
        <v>0</v>
      </c>
      <c r="S66" s="3"/>
      <c r="T66" s="3">
        <v>153110.63</v>
      </c>
      <c r="U66" s="3"/>
      <c r="V66" s="22">
        <f t="shared" si="17"/>
        <v>0.67251934566785532</v>
      </c>
      <c r="W66" s="3"/>
      <c r="X66" s="3">
        <f t="shared" si="18"/>
        <v>-153110.63</v>
      </c>
      <c r="Y66" s="3"/>
      <c r="Z66" s="22">
        <f t="shared" si="19"/>
        <v>-1</v>
      </c>
    </row>
    <row r="67" spans="1:26" s="24" customFormat="1" hidden="1" outlineLevel="1" x14ac:dyDescent="0.3">
      <c r="A67" s="50"/>
      <c r="B67" s="12" t="str">
        <f>CONCATENATE("          ", "5002", " - ", "PURCHASES @ COST-USED TEXT")</f>
        <v xml:space="preserve">          5002 - PURCHASES @ COST-USED TEXT</v>
      </c>
      <c r="C67" s="12"/>
      <c r="D67" s="3">
        <v>0</v>
      </c>
      <c r="E67" s="3"/>
      <c r="F67" s="22">
        <f t="shared" si="12"/>
        <v>0</v>
      </c>
      <c r="G67" s="3"/>
      <c r="H67" s="3">
        <v>60324.85</v>
      </c>
      <c r="I67" s="3"/>
      <c r="J67" s="22">
        <f t="shared" si="13"/>
        <v>0.26496937965385892</v>
      </c>
      <c r="K67" s="3"/>
      <c r="L67" s="3">
        <f t="shared" si="14"/>
        <v>-60324.85</v>
      </c>
      <c r="M67" s="3"/>
      <c r="N67" s="22">
        <f t="shared" si="15"/>
        <v>-1</v>
      </c>
      <c r="O67" s="12"/>
      <c r="P67" s="3">
        <v>0</v>
      </c>
      <c r="Q67" s="3"/>
      <c r="R67" s="22">
        <f t="shared" si="16"/>
        <v>0</v>
      </c>
      <c r="S67" s="3"/>
      <c r="T67" s="3">
        <v>60324.85</v>
      </c>
      <c r="U67" s="3"/>
      <c r="V67" s="22">
        <f t="shared" si="17"/>
        <v>0.26496937965385892</v>
      </c>
      <c r="W67" s="3"/>
      <c r="X67" s="3">
        <f t="shared" si="18"/>
        <v>-60324.85</v>
      </c>
      <c r="Y67" s="3"/>
      <c r="Z67" s="22">
        <f t="shared" si="19"/>
        <v>-1</v>
      </c>
    </row>
    <row r="68" spans="1:26" s="24" customFormat="1" hidden="1" outlineLevel="1" x14ac:dyDescent="0.3">
      <c r="A68" s="50"/>
      <c r="B68" s="12" t="str">
        <f>CONCATENATE("          ", "5003", " - ", "PURCHASES @ COST-RENTAL TEXT")</f>
        <v xml:space="preserve">          5003 - PURCHASES @ COST-RENTAL TEXT</v>
      </c>
      <c r="C68" s="12"/>
      <c r="D68" s="3"/>
      <c r="E68" s="3"/>
      <c r="F68" s="22">
        <f t="shared" si="12"/>
        <v>0</v>
      </c>
      <c r="G68" s="3"/>
      <c r="H68" s="3">
        <v>-11926.64</v>
      </c>
      <c r="I68" s="3"/>
      <c r="J68" s="22">
        <f t="shared" si="13"/>
        <v>-5.2386278658876066E-2</v>
      </c>
      <c r="K68" s="3"/>
      <c r="L68" s="3">
        <f t="shared" si="14"/>
        <v>11926.64</v>
      </c>
      <c r="M68" s="3"/>
      <c r="N68" s="22">
        <f t="shared" si="15"/>
        <v>-1</v>
      </c>
      <c r="O68" s="12"/>
      <c r="P68" s="3"/>
      <c r="Q68" s="3"/>
      <c r="R68" s="22">
        <f t="shared" si="16"/>
        <v>0</v>
      </c>
      <c r="S68" s="3"/>
      <c r="T68" s="3">
        <v>-11926.64</v>
      </c>
      <c r="U68" s="3"/>
      <c r="V68" s="22">
        <f t="shared" si="17"/>
        <v>-5.2386278658876066E-2</v>
      </c>
      <c r="W68" s="3"/>
      <c r="X68" s="3">
        <f t="shared" si="18"/>
        <v>11926.64</v>
      </c>
      <c r="Y68" s="3"/>
      <c r="Z68" s="22">
        <f t="shared" si="19"/>
        <v>-1</v>
      </c>
    </row>
    <row r="69" spans="1:26" s="24" customFormat="1" hidden="1" outlineLevel="1" x14ac:dyDescent="0.3">
      <c r="A69" s="50"/>
      <c r="B69" s="12" t="str">
        <f>CONCATENATE("          ", "5004", " - ", "PURCHASES @ COST-DIGITAL TEXT")</f>
        <v xml:space="preserve">          5004 - PURCHASES @ COST-DIGITAL TEXT</v>
      </c>
      <c r="C69" s="12"/>
      <c r="D69" s="3">
        <v>0</v>
      </c>
      <c r="E69" s="3"/>
      <c r="F69" s="22">
        <f t="shared" si="12"/>
        <v>0</v>
      </c>
      <c r="G69" s="3"/>
      <c r="H69" s="3">
        <v>4925.4799999999996</v>
      </c>
      <c r="I69" s="3"/>
      <c r="J69" s="22">
        <f t="shared" si="13"/>
        <v>2.163455657324451E-2</v>
      </c>
      <c r="K69" s="3"/>
      <c r="L69" s="3">
        <f t="shared" si="14"/>
        <v>-4925.4799999999996</v>
      </c>
      <c r="M69" s="3"/>
      <c r="N69" s="22">
        <f t="shared" si="15"/>
        <v>-1</v>
      </c>
      <c r="O69" s="12"/>
      <c r="P69" s="3">
        <v>0</v>
      </c>
      <c r="Q69" s="3"/>
      <c r="R69" s="22">
        <f t="shared" si="16"/>
        <v>0</v>
      </c>
      <c r="S69" s="3"/>
      <c r="T69" s="3">
        <v>4925.4799999999996</v>
      </c>
      <c r="U69" s="3"/>
      <c r="V69" s="22">
        <f t="shared" si="17"/>
        <v>2.163455657324451E-2</v>
      </c>
      <c r="W69" s="3"/>
      <c r="X69" s="3">
        <f t="shared" si="18"/>
        <v>-4925.4799999999996</v>
      </c>
      <c r="Y69" s="3"/>
      <c r="Z69" s="22">
        <f t="shared" si="19"/>
        <v>-1</v>
      </c>
    </row>
    <row r="70" spans="1:26" s="24" customFormat="1" hidden="1" outlineLevel="1" x14ac:dyDescent="0.3">
      <c r="A70" s="50"/>
      <c r="B70" s="12" t="str">
        <f>CONCATENATE("          ", "5013", " - ", "PURCHASES @ COST-TRADE BOOKS")</f>
        <v xml:space="preserve">          5013 - PURCHASES @ COST-TRADE BOOKS</v>
      </c>
      <c r="C70" s="12"/>
      <c r="D70" s="3"/>
      <c r="E70" s="3"/>
      <c r="F70" s="22">
        <f t="shared" si="12"/>
        <v>0</v>
      </c>
      <c r="G70" s="3"/>
      <c r="H70" s="3">
        <v>108.54</v>
      </c>
      <c r="I70" s="3"/>
      <c r="J70" s="22">
        <f t="shared" si="13"/>
        <v>4.7674841243086142E-4</v>
      </c>
      <c r="K70" s="3"/>
      <c r="L70" s="3">
        <f t="shared" si="14"/>
        <v>-108.54</v>
      </c>
      <c r="M70" s="3"/>
      <c r="N70" s="22">
        <f t="shared" si="15"/>
        <v>-1</v>
      </c>
      <c r="O70" s="12"/>
      <c r="P70" s="3"/>
      <c r="Q70" s="3"/>
      <c r="R70" s="22">
        <f t="shared" si="16"/>
        <v>0</v>
      </c>
      <c r="S70" s="3"/>
      <c r="T70" s="3">
        <v>108.54</v>
      </c>
      <c r="U70" s="3"/>
      <c r="V70" s="22">
        <f t="shared" si="17"/>
        <v>4.7674841243086142E-4</v>
      </c>
      <c r="W70" s="3"/>
      <c r="X70" s="3">
        <f t="shared" si="18"/>
        <v>-108.54</v>
      </c>
      <c r="Y70" s="3"/>
      <c r="Z70" s="22">
        <f t="shared" si="19"/>
        <v>-1</v>
      </c>
    </row>
    <row r="71" spans="1:26" s="24" customFormat="1" hidden="1" outlineLevel="1" x14ac:dyDescent="0.3">
      <c r="A71" s="50"/>
      <c r="B71" s="12" t="str">
        <f>CONCATENATE("          ", "5014", " - ", "PURCHASES @ COST-REMAINDERS")</f>
        <v xml:space="preserve">          5014 - PURCHASES @ COST-REMAINDERS</v>
      </c>
      <c r="C71" s="12"/>
      <c r="D71" s="3"/>
      <c r="E71" s="3"/>
      <c r="F71" s="22">
        <f t="shared" si="12"/>
        <v>0</v>
      </c>
      <c r="G71" s="3"/>
      <c r="H71" s="3">
        <v>-12.51</v>
      </c>
      <c r="I71" s="3"/>
      <c r="J71" s="22">
        <f t="shared" si="13"/>
        <v>-5.494861469974273E-5</v>
      </c>
      <c r="K71" s="3"/>
      <c r="L71" s="3">
        <f t="shared" si="14"/>
        <v>12.51</v>
      </c>
      <c r="M71" s="3"/>
      <c r="N71" s="22">
        <f t="shared" si="15"/>
        <v>-1</v>
      </c>
      <c r="O71" s="12"/>
      <c r="P71" s="3"/>
      <c r="Q71" s="3"/>
      <c r="R71" s="22">
        <f t="shared" si="16"/>
        <v>0</v>
      </c>
      <c r="S71" s="3"/>
      <c r="T71" s="3">
        <v>-12.51</v>
      </c>
      <c r="U71" s="3"/>
      <c r="V71" s="22">
        <f t="shared" si="17"/>
        <v>-5.494861469974273E-5</v>
      </c>
      <c r="W71" s="3"/>
      <c r="X71" s="3">
        <f t="shared" si="18"/>
        <v>12.51</v>
      </c>
      <c r="Y71" s="3"/>
      <c r="Z71" s="22">
        <f t="shared" si="19"/>
        <v>-1</v>
      </c>
    </row>
    <row r="72" spans="1:26" s="24" customFormat="1" hidden="1" outlineLevel="1" x14ac:dyDescent="0.3">
      <c r="A72" s="50"/>
      <c r="B72" s="12" t="str">
        <f>CONCATENATE("          ", "5027", " - ", "PURCHASES @ COST-SCHOOL SUPPLI")</f>
        <v xml:space="preserve">          5027 - PURCHASES @ COST-SCHOOL SUPPLI</v>
      </c>
      <c r="C72" s="12"/>
      <c r="D72" s="3"/>
      <c r="E72" s="3"/>
      <c r="F72" s="22">
        <f t="shared" si="12"/>
        <v>0</v>
      </c>
      <c r="G72" s="3"/>
      <c r="H72" s="3">
        <v>8503.4</v>
      </c>
      <c r="I72" s="3"/>
      <c r="J72" s="22">
        <f t="shared" si="13"/>
        <v>3.7350123919887478E-2</v>
      </c>
      <c r="K72" s="3"/>
      <c r="L72" s="3">
        <f t="shared" si="14"/>
        <v>-8503.4</v>
      </c>
      <c r="M72" s="3"/>
      <c r="N72" s="22">
        <f t="shared" si="15"/>
        <v>-1</v>
      </c>
      <c r="O72" s="12"/>
      <c r="P72" s="3"/>
      <c r="Q72" s="3"/>
      <c r="R72" s="22">
        <f t="shared" si="16"/>
        <v>0</v>
      </c>
      <c r="S72" s="3"/>
      <c r="T72" s="3">
        <v>8503.4</v>
      </c>
      <c r="U72" s="3"/>
      <c r="V72" s="22">
        <f t="shared" si="17"/>
        <v>3.7350123919887478E-2</v>
      </c>
      <c r="W72" s="3"/>
      <c r="X72" s="3">
        <f t="shared" si="18"/>
        <v>-8503.4</v>
      </c>
      <c r="Y72" s="3"/>
      <c r="Z72" s="22">
        <f t="shared" si="19"/>
        <v>-1</v>
      </c>
    </row>
    <row r="73" spans="1:26" s="24" customFormat="1" hidden="1" outlineLevel="1" x14ac:dyDescent="0.3">
      <c r="A73" s="50"/>
      <c r="B73" s="12" t="str">
        <f>CONCATENATE("          ", "5040", " - ", "PURCHASES @ COST-LOGO CLOTHING")</f>
        <v xml:space="preserve">          5040 - PURCHASES @ COST-LOGO CLOTHING</v>
      </c>
      <c r="C73" s="12"/>
      <c r="D73" s="3">
        <v>0</v>
      </c>
      <c r="E73" s="3"/>
      <c r="F73" s="22">
        <f t="shared" si="12"/>
        <v>0</v>
      </c>
      <c r="G73" s="3"/>
      <c r="H73" s="3">
        <v>1723.07</v>
      </c>
      <c r="I73" s="3"/>
      <c r="J73" s="22">
        <f t="shared" si="13"/>
        <v>7.5683700664017353E-3</v>
      </c>
      <c r="K73" s="3"/>
      <c r="L73" s="3">
        <f t="shared" si="14"/>
        <v>-1723.07</v>
      </c>
      <c r="M73" s="3"/>
      <c r="N73" s="22">
        <f t="shared" si="15"/>
        <v>-1</v>
      </c>
      <c r="O73" s="12"/>
      <c r="P73" s="3">
        <v>0</v>
      </c>
      <c r="Q73" s="3"/>
      <c r="R73" s="22">
        <f t="shared" si="16"/>
        <v>0</v>
      </c>
      <c r="S73" s="3"/>
      <c r="T73" s="3">
        <v>1723.07</v>
      </c>
      <c r="U73" s="3"/>
      <c r="V73" s="22">
        <f t="shared" si="17"/>
        <v>7.5683700664017353E-3</v>
      </c>
      <c r="W73" s="3"/>
      <c r="X73" s="3">
        <f t="shared" si="18"/>
        <v>-1723.07</v>
      </c>
      <c r="Y73" s="3"/>
      <c r="Z73" s="22">
        <f t="shared" si="19"/>
        <v>-1</v>
      </c>
    </row>
    <row r="74" spans="1:26" s="24" customFormat="1" hidden="1" outlineLevel="1" x14ac:dyDescent="0.3">
      <c r="A74" s="50"/>
      <c r="B74" s="12" t="str">
        <f>CONCATENATE("          ", "5041", " - ", "PURCHASES @ COST-LOGO GIFTS")</f>
        <v xml:space="preserve">          5041 - PURCHASES @ COST-LOGO GIFTS</v>
      </c>
      <c r="C74" s="12"/>
      <c r="D74" s="3">
        <v>0</v>
      </c>
      <c r="E74" s="3"/>
      <c r="F74" s="22">
        <f t="shared" si="12"/>
        <v>0</v>
      </c>
      <c r="G74" s="3"/>
      <c r="H74" s="3">
        <v>-713.75</v>
      </c>
      <c r="I74" s="3"/>
      <c r="J74" s="22">
        <f t="shared" si="13"/>
        <v>-3.1350578530728516E-3</v>
      </c>
      <c r="K74" s="3"/>
      <c r="L74" s="3">
        <f t="shared" si="14"/>
        <v>713.75</v>
      </c>
      <c r="M74" s="3"/>
      <c r="N74" s="22">
        <f t="shared" si="15"/>
        <v>-1</v>
      </c>
      <c r="O74" s="12"/>
      <c r="P74" s="3">
        <v>0</v>
      </c>
      <c r="Q74" s="3"/>
      <c r="R74" s="22">
        <f t="shared" si="16"/>
        <v>0</v>
      </c>
      <c r="S74" s="3"/>
      <c r="T74" s="3">
        <v>-713.75</v>
      </c>
      <c r="U74" s="3"/>
      <c r="V74" s="22">
        <f t="shared" si="17"/>
        <v>-3.1350578530728516E-3</v>
      </c>
      <c r="W74" s="3"/>
      <c r="X74" s="3">
        <f t="shared" si="18"/>
        <v>713.75</v>
      </c>
      <c r="Y74" s="3"/>
      <c r="Z74" s="22">
        <f t="shared" si="19"/>
        <v>-1</v>
      </c>
    </row>
    <row r="75" spans="1:26" s="24" customFormat="1" hidden="1" outlineLevel="1" x14ac:dyDescent="0.3">
      <c r="A75" s="50"/>
      <c r="B75" s="12" t="str">
        <f>CONCATENATE("          ", "5042", " - ", "PURCHASES @ COST-EVERYDAY GIFT")</f>
        <v xml:space="preserve">          5042 - PURCHASES @ COST-EVERYDAY GIFT</v>
      </c>
      <c r="C75" s="12"/>
      <c r="D75" s="3">
        <v>0</v>
      </c>
      <c r="E75" s="3"/>
      <c r="F75" s="22">
        <f t="shared" si="12"/>
        <v>0</v>
      </c>
      <c r="G75" s="3"/>
      <c r="H75" s="3">
        <v>236.16</v>
      </c>
      <c r="I75" s="3"/>
      <c r="J75" s="22">
        <f t="shared" si="13"/>
        <v>1.0373033451232009E-3</v>
      </c>
      <c r="K75" s="3"/>
      <c r="L75" s="3">
        <f t="shared" si="14"/>
        <v>-236.16</v>
      </c>
      <c r="M75" s="3"/>
      <c r="N75" s="22">
        <f t="shared" si="15"/>
        <v>-1</v>
      </c>
      <c r="O75" s="12"/>
      <c r="P75" s="3">
        <v>0</v>
      </c>
      <c r="Q75" s="3"/>
      <c r="R75" s="22">
        <f t="shared" si="16"/>
        <v>0</v>
      </c>
      <c r="S75" s="3"/>
      <c r="T75" s="3">
        <v>236.16</v>
      </c>
      <c r="U75" s="3"/>
      <c r="V75" s="22">
        <f t="shared" si="17"/>
        <v>1.0373033451232009E-3</v>
      </c>
      <c r="W75" s="3"/>
      <c r="X75" s="3">
        <f t="shared" si="18"/>
        <v>-236.16</v>
      </c>
      <c r="Y75" s="3"/>
      <c r="Z75" s="22">
        <f t="shared" si="19"/>
        <v>-1</v>
      </c>
    </row>
    <row r="76" spans="1:26" s="24" customFormat="1" hidden="1" outlineLevel="1" x14ac:dyDescent="0.3">
      <c r="A76" s="50"/>
      <c r="B76" s="12" t="str">
        <f>CONCATENATE("          ", "5043", " - ", "PURCHASES @ COST-CARDS")</f>
        <v xml:space="preserve">          5043 - PURCHASES @ COST-CARDS</v>
      </c>
      <c r="C76" s="12"/>
      <c r="D76" s="3">
        <v>0</v>
      </c>
      <c r="E76" s="3"/>
      <c r="F76" s="22">
        <f t="shared" si="12"/>
        <v>0</v>
      </c>
      <c r="G76" s="3"/>
      <c r="H76" s="3">
        <v>308.7</v>
      </c>
      <c r="I76" s="3"/>
      <c r="J76" s="22">
        <f t="shared" si="13"/>
        <v>1.355926247626745E-3</v>
      </c>
      <c r="K76" s="3"/>
      <c r="L76" s="3">
        <f t="shared" si="14"/>
        <v>-308.7</v>
      </c>
      <c r="M76" s="3"/>
      <c r="N76" s="22">
        <f t="shared" si="15"/>
        <v>-1</v>
      </c>
      <c r="O76" s="12"/>
      <c r="P76" s="3">
        <v>0</v>
      </c>
      <c r="Q76" s="3"/>
      <c r="R76" s="22">
        <f t="shared" si="16"/>
        <v>0</v>
      </c>
      <c r="S76" s="3"/>
      <c r="T76" s="3">
        <v>308.7</v>
      </c>
      <c r="U76" s="3"/>
      <c r="V76" s="22">
        <f t="shared" si="17"/>
        <v>1.355926247626745E-3</v>
      </c>
      <c r="W76" s="3"/>
      <c r="X76" s="3">
        <f t="shared" si="18"/>
        <v>-308.7</v>
      </c>
      <c r="Y76" s="3"/>
      <c r="Z76" s="22">
        <f t="shared" si="19"/>
        <v>-1</v>
      </c>
    </row>
    <row r="77" spans="1:26" s="24" customFormat="1" hidden="1" outlineLevel="1" x14ac:dyDescent="0.3">
      <c r="A77" s="50"/>
      <c r="B77" s="12" t="str">
        <f>CONCATENATE("          ", "5044", " - ", "PURCHASES @ COST-ACCESSORIES")</f>
        <v xml:space="preserve">          5044 - PURCHASES @ COST-ACCESSORIES</v>
      </c>
      <c r="C77" s="12"/>
      <c r="D77" s="3">
        <v>0</v>
      </c>
      <c r="E77" s="3"/>
      <c r="F77" s="22">
        <f t="shared" si="12"/>
        <v>0</v>
      </c>
      <c r="G77" s="3"/>
      <c r="H77" s="3"/>
      <c r="I77" s="3"/>
      <c r="J77" s="22">
        <f t="shared" si="13"/>
        <v>0</v>
      </c>
      <c r="K77" s="3"/>
      <c r="L77" s="3">
        <f t="shared" si="14"/>
        <v>0</v>
      </c>
      <c r="M77" s="3"/>
      <c r="N77" s="22">
        <f t="shared" si="15"/>
        <v>0</v>
      </c>
      <c r="O77" s="12"/>
      <c r="P77" s="3">
        <v>0</v>
      </c>
      <c r="Q77" s="3"/>
      <c r="R77" s="22">
        <f t="shared" si="16"/>
        <v>0</v>
      </c>
      <c r="S77" s="3"/>
      <c r="T77" s="3"/>
      <c r="U77" s="3"/>
      <c r="V77" s="22">
        <f t="shared" si="17"/>
        <v>0</v>
      </c>
      <c r="W77" s="3"/>
      <c r="X77" s="3">
        <f t="shared" si="18"/>
        <v>0</v>
      </c>
      <c r="Y77" s="3"/>
      <c r="Z77" s="22">
        <f t="shared" si="19"/>
        <v>0</v>
      </c>
    </row>
    <row r="78" spans="1:26" s="24" customFormat="1" hidden="1" outlineLevel="1" x14ac:dyDescent="0.3">
      <c r="A78" s="50"/>
      <c r="B78" s="12" t="str">
        <f>CONCATENATE("          ", "5045", " - ", "PURCHASES @ COST-SPECIAL ORDER")</f>
        <v xml:space="preserve">          5045 - PURCHASES @ COST-SPECIAL ORDER</v>
      </c>
      <c r="C78" s="12"/>
      <c r="D78" s="3">
        <v>0</v>
      </c>
      <c r="E78" s="3"/>
      <c r="F78" s="22">
        <f t="shared" si="12"/>
        <v>0</v>
      </c>
      <c r="G78" s="3"/>
      <c r="H78" s="3">
        <v>2756.21</v>
      </c>
      <c r="I78" s="3"/>
      <c r="J78" s="22">
        <f t="shared" si="13"/>
        <v>1.2106308658799194E-2</v>
      </c>
      <c r="K78" s="3"/>
      <c r="L78" s="3">
        <f t="shared" si="14"/>
        <v>-2756.21</v>
      </c>
      <c r="M78" s="3"/>
      <c r="N78" s="22">
        <f t="shared" si="15"/>
        <v>-1</v>
      </c>
      <c r="O78" s="12"/>
      <c r="P78" s="3">
        <v>0</v>
      </c>
      <c r="Q78" s="3"/>
      <c r="R78" s="22">
        <f t="shared" si="16"/>
        <v>0</v>
      </c>
      <c r="S78" s="3"/>
      <c r="T78" s="3">
        <v>2756.21</v>
      </c>
      <c r="U78" s="3"/>
      <c r="V78" s="22">
        <f t="shared" si="17"/>
        <v>1.2106308658799194E-2</v>
      </c>
      <c r="W78" s="3"/>
      <c r="X78" s="3">
        <f t="shared" si="18"/>
        <v>-2756.21</v>
      </c>
      <c r="Y78" s="3"/>
      <c r="Z78" s="22">
        <f t="shared" si="19"/>
        <v>-1</v>
      </c>
    </row>
    <row r="79" spans="1:26" s="24" customFormat="1" hidden="1" outlineLevel="1" x14ac:dyDescent="0.3">
      <c r="A79" s="50"/>
      <c r="B79" s="12" t="str">
        <f>CONCATENATE("          ", "5092", " - ", "PURCHASES @ COST-GRAD MERCH")</f>
        <v xml:space="preserve">          5092 - PURCHASES @ COST-GRAD MERCH</v>
      </c>
      <c r="C79" s="12"/>
      <c r="D79" s="3"/>
      <c r="E79" s="3"/>
      <c r="F79" s="22">
        <f t="shared" si="12"/>
        <v>0</v>
      </c>
      <c r="G79" s="3"/>
      <c r="H79" s="3">
        <v>0</v>
      </c>
      <c r="I79" s="3"/>
      <c r="J79" s="22">
        <f t="shared" si="13"/>
        <v>0</v>
      </c>
      <c r="K79" s="3"/>
      <c r="L79" s="3">
        <f t="shared" si="14"/>
        <v>0</v>
      </c>
      <c r="M79" s="3"/>
      <c r="N79" s="22">
        <f t="shared" si="15"/>
        <v>0</v>
      </c>
      <c r="O79" s="12"/>
      <c r="P79" s="3"/>
      <c r="Q79" s="3"/>
      <c r="R79" s="22">
        <f t="shared" si="16"/>
        <v>0</v>
      </c>
      <c r="S79" s="3"/>
      <c r="T79" s="3">
        <v>0</v>
      </c>
      <c r="U79" s="3"/>
      <c r="V79" s="22">
        <f t="shared" si="17"/>
        <v>0</v>
      </c>
      <c r="W79" s="3"/>
      <c r="X79" s="3">
        <f t="shared" si="18"/>
        <v>0</v>
      </c>
      <c r="Y79" s="3"/>
      <c r="Z79" s="22">
        <f t="shared" si="19"/>
        <v>0</v>
      </c>
    </row>
    <row r="80" spans="1:26" s="24" customFormat="1" hidden="1" outlineLevel="1" x14ac:dyDescent="0.3">
      <c r="A80" s="50"/>
      <c r="B80" s="12" t="str">
        <f>CONCATENATE("          ", "5200", " - ", "PURCHASES OFFSET")</f>
        <v xml:space="preserve">          5200 - PURCHASES OFFSET</v>
      </c>
      <c r="C80" s="12"/>
      <c r="D80" s="3">
        <v>-346348.67</v>
      </c>
      <c r="E80" s="3"/>
      <c r="F80" s="22">
        <f t="shared" si="12"/>
        <v>-1.5707549475909599</v>
      </c>
      <c r="G80" s="3"/>
      <c r="H80" s="3">
        <v>-215765.28</v>
      </c>
      <c r="I80" s="3"/>
      <c r="J80" s="22">
        <f t="shared" si="13"/>
        <v>-0.94772208123917712</v>
      </c>
      <c r="K80" s="3"/>
      <c r="L80" s="3">
        <f t="shared" si="14"/>
        <v>-130583.38999999998</v>
      </c>
      <c r="M80" s="3"/>
      <c r="N80" s="22">
        <f t="shared" si="15"/>
        <v>0.60521039344235539</v>
      </c>
      <c r="O80" s="12"/>
      <c r="P80" s="3">
        <v>-346348.67</v>
      </c>
      <c r="Q80" s="3"/>
      <c r="R80" s="22">
        <f t="shared" si="16"/>
        <v>-1.5707549475909599</v>
      </c>
      <c r="S80" s="3"/>
      <c r="T80" s="3">
        <v>-215765.28</v>
      </c>
      <c r="U80" s="3"/>
      <c r="V80" s="22">
        <f t="shared" si="17"/>
        <v>-0.94772208123917712</v>
      </c>
      <c r="W80" s="3"/>
      <c r="X80" s="3">
        <f t="shared" si="18"/>
        <v>-130583.38999999998</v>
      </c>
      <c r="Y80" s="3"/>
      <c r="Z80" s="22">
        <f t="shared" si="19"/>
        <v>0.60521039344235539</v>
      </c>
    </row>
    <row r="81" spans="1:26" s="24" customFormat="1" hidden="1" outlineLevel="1" x14ac:dyDescent="0.3">
      <c r="A81" s="50"/>
      <c r="B81" s="12" t="str">
        <f>CONCATENATE("          ", "5300", " - ", "COG$ OFFSET")</f>
        <v xml:space="preserve">          5300 - COG$ OFFSET</v>
      </c>
      <c r="C81" s="12"/>
      <c r="D81" s="3">
        <v>125411.41</v>
      </c>
      <c r="E81" s="3"/>
      <c r="F81" s="22">
        <f t="shared" si="12"/>
        <v>0.56876382040635065</v>
      </c>
      <c r="G81" s="3"/>
      <c r="H81" s="3">
        <v>135628</v>
      </c>
      <c r="I81" s="3"/>
      <c r="J81" s="22">
        <f t="shared" si="13"/>
        <v>0.59572907390061602</v>
      </c>
      <c r="K81" s="3"/>
      <c r="L81" s="3">
        <f t="shared" si="14"/>
        <v>-10216.589999999997</v>
      </c>
      <c r="M81" s="3"/>
      <c r="N81" s="22">
        <f t="shared" si="15"/>
        <v>-7.5328029610404912E-2</v>
      </c>
      <c r="O81" s="12"/>
      <c r="P81" s="3">
        <v>125411.41</v>
      </c>
      <c r="Q81" s="3"/>
      <c r="R81" s="22">
        <f t="shared" si="16"/>
        <v>0.56876382040635065</v>
      </c>
      <c r="S81" s="3"/>
      <c r="T81" s="3">
        <v>135628</v>
      </c>
      <c r="U81" s="3"/>
      <c r="V81" s="22">
        <f t="shared" si="17"/>
        <v>0.59572907390061602</v>
      </c>
      <c r="W81" s="3"/>
      <c r="X81" s="3">
        <f t="shared" si="18"/>
        <v>-10216.589999999997</v>
      </c>
      <c r="Y81" s="3"/>
      <c r="Z81" s="22">
        <f t="shared" si="19"/>
        <v>-7.5328029610404912E-2</v>
      </c>
    </row>
    <row r="82" spans="1:26" s="24" customFormat="1" hidden="1" outlineLevel="1" x14ac:dyDescent="0.3">
      <c r="A82" s="50"/>
      <c r="B82" s="12" t="str">
        <f>CONCATENATE("          ", "5500", " - ", "FREIGHT-IN")</f>
        <v xml:space="preserve">          5500 - FREIGHT-IN</v>
      </c>
      <c r="C82" s="12"/>
      <c r="D82" s="3">
        <v>3585.03</v>
      </c>
      <c r="E82" s="3"/>
      <c r="F82" s="22">
        <f t="shared" si="12"/>
        <v>1.6258770705722701E-2</v>
      </c>
      <c r="G82" s="3"/>
      <c r="H82" s="3">
        <v>0</v>
      </c>
      <c r="I82" s="3"/>
      <c r="J82" s="22">
        <f t="shared" si="13"/>
        <v>0</v>
      </c>
      <c r="K82" s="3"/>
      <c r="L82" s="3">
        <f t="shared" si="14"/>
        <v>3585.03</v>
      </c>
      <c r="M82" s="3"/>
      <c r="N82" s="22">
        <f t="shared" si="15"/>
        <v>0</v>
      </c>
      <c r="O82" s="12"/>
      <c r="P82" s="3">
        <v>3585.03</v>
      </c>
      <c r="Q82" s="3"/>
      <c r="R82" s="22">
        <f t="shared" si="16"/>
        <v>1.6258770705722701E-2</v>
      </c>
      <c r="S82" s="3"/>
      <c r="T82" s="3">
        <v>0</v>
      </c>
      <c r="U82" s="3"/>
      <c r="V82" s="22">
        <f t="shared" si="17"/>
        <v>0</v>
      </c>
      <c r="W82" s="3"/>
      <c r="X82" s="3">
        <f t="shared" si="18"/>
        <v>3585.03</v>
      </c>
      <c r="Y82" s="3"/>
      <c r="Z82" s="22">
        <f t="shared" si="19"/>
        <v>0</v>
      </c>
    </row>
    <row r="83" spans="1:26" s="24" customFormat="1" hidden="1" outlineLevel="1" x14ac:dyDescent="0.3">
      <c r="A83" s="50"/>
      <c r="B83" s="12" t="str">
        <f>CONCATENATE("          ", "5501", " - ", "FREIGHT-IN-NEW TEXT")</f>
        <v xml:space="preserve">          5501 - FREIGHT-IN-NEW TEXT</v>
      </c>
      <c r="C83" s="12"/>
      <c r="D83" s="3">
        <v>0</v>
      </c>
      <c r="E83" s="3"/>
      <c r="F83" s="22">
        <f t="shared" si="12"/>
        <v>0</v>
      </c>
      <c r="G83" s="3"/>
      <c r="H83" s="3">
        <v>802.72</v>
      </c>
      <c r="I83" s="3"/>
      <c r="J83" s="22">
        <f t="shared" si="13"/>
        <v>3.5258474813571134E-3</v>
      </c>
      <c r="K83" s="3"/>
      <c r="L83" s="3">
        <f t="shared" si="14"/>
        <v>-802.72</v>
      </c>
      <c r="M83" s="3"/>
      <c r="N83" s="22">
        <f t="shared" si="15"/>
        <v>-1</v>
      </c>
      <c r="O83" s="12"/>
      <c r="P83" s="3">
        <v>0</v>
      </c>
      <c r="Q83" s="3"/>
      <c r="R83" s="22">
        <f t="shared" si="16"/>
        <v>0</v>
      </c>
      <c r="S83" s="3"/>
      <c r="T83" s="3">
        <v>802.72</v>
      </c>
      <c r="U83" s="3"/>
      <c r="V83" s="22">
        <f t="shared" si="17"/>
        <v>3.5258474813571134E-3</v>
      </c>
      <c r="W83" s="3"/>
      <c r="X83" s="3">
        <f t="shared" si="18"/>
        <v>-802.72</v>
      </c>
      <c r="Y83" s="3"/>
      <c r="Z83" s="22">
        <f t="shared" si="19"/>
        <v>-1</v>
      </c>
    </row>
    <row r="84" spans="1:26" s="24" customFormat="1" hidden="1" outlineLevel="1" x14ac:dyDescent="0.3">
      <c r="A84" s="50"/>
      <c r="B84" s="12" t="str">
        <f>CONCATENATE("          ", "5502", " - ", "FREIGHT-IN-USED TEXT")</f>
        <v xml:space="preserve">          5502 - FREIGHT-IN-USED TEXT</v>
      </c>
      <c r="C84" s="12"/>
      <c r="D84" s="3">
        <v>0</v>
      </c>
      <c r="E84" s="3"/>
      <c r="F84" s="22">
        <f t="shared" si="12"/>
        <v>0</v>
      </c>
      <c r="G84" s="3"/>
      <c r="H84" s="3">
        <v>47.89</v>
      </c>
      <c r="I84" s="3"/>
      <c r="J84" s="22">
        <f t="shared" si="13"/>
        <v>2.1035085195608949E-4</v>
      </c>
      <c r="K84" s="3"/>
      <c r="L84" s="3">
        <f t="shared" si="14"/>
        <v>-47.89</v>
      </c>
      <c r="M84" s="3"/>
      <c r="N84" s="22">
        <f t="shared" si="15"/>
        <v>-1</v>
      </c>
      <c r="O84" s="12"/>
      <c r="P84" s="3">
        <v>0</v>
      </c>
      <c r="Q84" s="3"/>
      <c r="R84" s="22">
        <f t="shared" si="16"/>
        <v>0</v>
      </c>
      <c r="S84" s="3"/>
      <c r="T84" s="3">
        <v>47.89</v>
      </c>
      <c r="U84" s="3"/>
      <c r="V84" s="22">
        <f t="shared" si="17"/>
        <v>2.1035085195608949E-4</v>
      </c>
      <c r="W84" s="3"/>
      <c r="X84" s="3">
        <f t="shared" si="18"/>
        <v>-47.89</v>
      </c>
      <c r="Y84" s="3"/>
      <c r="Z84" s="22">
        <f t="shared" si="19"/>
        <v>-1</v>
      </c>
    </row>
    <row r="85" spans="1:26" s="24" customFormat="1" hidden="1" outlineLevel="1" x14ac:dyDescent="0.3">
      <c r="A85" s="50"/>
      <c r="B85" s="12" t="str">
        <f>CONCATENATE("          ", "5518", " - ", "FREIGHT-IN-STUDY GUIDES")</f>
        <v xml:space="preserve">          5518 - FREIGHT-IN-STUDY GUIDES</v>
      </c>
      <c r="C85" s="12"/>
      <c r="D85" s="3">
        <v>0</v>
      </c>
      <c r="E85" s="3"/>
      <c r="F85" s="22">
        <f t="shared" si="12"/>
        <v>0</v>
      </c>
      <c r="G85" s="3"/>
      <c r="H85" s="3"/>
      <c r="I85" s="3"/>
      <c r="J85" s="22">
        <f t="shared" si="13"/>
        <v>0</v>
      </c>
      <c r="K85" s="3"/>
      <c r="L85" s="3">
        <f t="shared" si="14"/>
        <v>0</v>
      </c>
      <c r="M85" s="3"/>
      <c r="N85" s="22">
        <f t="shared" si="15"/>
        <v>0</v>
      </c>
      <c r="O85" s="12"/>
      <c r="P85" s="3">
        <v>0</v>
      </c>
      <c r="Q85" s="3"/>
      <c r="R85" s="22">
        <f t="shared" si="16"/>
        <v>0</v>
      </c>
      <c r="S85" s="3"/>
      <c r="T85" s="3"/>
      <c r="U85" s="3"/>
      <c r="V85" s="22">
        <f t="shared" si="17"/>
        <v>0</v>
      </c>
      <c r="W85" s="3"/>
      <c r="X85" s="3">
        <f t="shared" si="18"/>
        <v>0</v>
      </c>
      <c r="Y85" s="3"/>
      <c r="Z85" s="22">
        <f t="shared" si="19"/>
        <v>0</v>
      </c>
    </row>
    <row r="86" spans="1:26" s="24" customFormat="1" hidden="1" outlineLevel="1" x14ac:dyDescent="0.3">
      <c r="A86" s="50"/>
      <c r="B86" s="12" t="str">
        <f>CONCATENATE("          ", "5528", " - ", "FREIGHT-IN-ART/TECH")</f>
        <v xml:space="preserve">          5528 - FREIGHT-IN-ART/TECH</v>
      </c>
      <c r="C86" s="12"/>
      <c r="D86" s="3"/>
      <c r="E86" s="3"/>
      <c r="F86" s="22">
        <f t="shared" si="12"/>
        <v>0</v>
      </c>
      <c r="G86" s="3"/>
      <c r="H86" s="3">
        <v>38.049999999999997</v>
      </c>
      <c r="I86" s="3"/>
      <c r="J86" s="22">
        <f t="shared" si="13"/>
        <v>1.6712987924262277E-4</v>
      </c>
      <c r="K86" s="3"/>
      <c r="L86" s="3">
        <f t="shared" si="14"/>
        <v>-38.049999999999997</v>
      </c>
      <c r="M86" s="3"/>
      <c r="N86" s="22">
        <f t="shared" si="15"/>
        <v>-1</v>
      </c>
      <c r="O86" s="12"/>
      <c r="P86" s="3"/>
      <c r="Q86" s="3"/>
      <c r="R86" s="22">
        <f t="shared" si="16"/>
        <v>0</v>
      </c>
      <c r="S86" s="3"/>
      <c r="T86" s="3">
        <v>38.049999999999997</v>
      </c>
      <c r="U86" s="3"/>
      <c r="V86" s="22">
        <f t="shared" si="17"/>
        <v>1.6712987924262277E-4</v>
      </c>
      <c r="W86" s="3"/>
      <c r="X86" s="3">
        <f t="shared" si="18"/>
        <v>-38.049999999999997</v>
      </c>
      <c r="Y86" s="3"/>
      <c r="Z86" s="22">
        <f t="shared" si="19"/>
        <v>-1</v>
      </c>
    </row>
    <row r="87" spans="1:26" s="24" customFormat="1" hidden="1" outlineLevel="1" x14ac:dyDescent="0.3">
      <c r="A87" s="50"/>
      <c r="B87" s="12" t="str">
        <f>CONCATENATE("          ", "5540", " - ", "FREIGHT-IN-LOGO CLOTHING")</f>
        <v xml:space="preserve">          5540 - FREIGHT-IN-LOGO CLOTHING</v>
      </c>
      <c r="C87" s="12"/>
      <c r="D87" s="3">
        <v>0</v>
      </c>
      <c r="E87" s="3"/>
      <c r="F87" s="22">
        <f t="shared" si="12"/>
        <v>0</v>
      </c>
      <c r="G87" s="3"/>
      <c r="H87" s="3">
        <v>909.83</v>
      </c>
      <c r="I87" s="3"/>
      <c r="J87" s="22">
        <f t="shared" si="13"/>
        <v>3.9963147971436392E-3</v>
      </c>
      <c r="K87" s="3"/>
      <c r="L87" s="3">
        <f t="shared" si="14"/>
        <v>-909.83</v>
      </c>
      <c r="M87" s="3"/>
      <c r="N87" s="22">
        <f t="shared" si="15"/>
        <v>-1</v>
      </c>
      <c r="O87" s="12"/>
      <c r="P87" s="3">
        <v>0</v>
      </c>
      <c r="Q87" s="3"/>
      <c r="R87" s="22">
        <f t="shared" si="16"/>
        <v>0</v>
      </c>
      <c r="S87" s="3"/>
      <c r="T87" s="3">
        <v>909.83</v>
      </c>
      <c r="U87" s="3"/>
      <c r="V87" s="22">
        <f t="shared" si="17"/>
        <v>3.9963147971436392E-3</v>
      </c>
      <c r="W87" s="3"/>
      <c r="X87" s="3">
        <f t="shared" si="18"/>
        <v>-909.83</v>
      </c>
      <c r="Y87" s="3"/>
      <c r="Z87" s="22">
        <f t="shared" si="19"/>
        <v>-1</v>
      </c>
    </row>
    <row r="88" spans="1:26" s="24" customFormat="1" hidden="1" outlineLevel="1" x14ac:dyDescent="0.3">
      <c r="A88" s="50"/>
      <c r="B88" s="12" t="str">
        <f>CONCATENATE("          ", "5541", " - ", "FREIGHT-IN-LOGO GIFTS")</f>
        <v xml:space="preserve">          5541 - FREIGHT-IN-LOGO GIFTS</v>
      </c>
      <c r="C88" s="12"/>
      <c r="D88" s="3">
        <v>0</v>
      </c>
      <c r="E88" s="3"/>
      <c r="F88" s="22">
        <f t="shared" si="12"/>
        <v>0</v>
      </c>
      <c r="G88" s="3"/>
      <c r="H88" s="3">
        <v>83.58</v>
      </c>
      <c r="I88" s="3"/>
      <c r="J88" s="22">
        <f t="shared" si="13"/>
        <v>3.6711472554792148E-4</v>
      </c>
      <c r="K88" s="3"/>
      <c r="L88" s="3">
        <f t="shared" si="14"/>
        <v>-83.58</v>
      </c>
      <c r="M88" s="3"/>
      <c r="N88" s="22">
        <f t="shared" si="15"/>
        <v>-1</v>
      </c>
      <c r="O88" s="12"/>
      <c r="P88" s="3">
        <v>0</v>
      </c>
      <c r="Q88" s="3"/>
      <c r="R88" s="22">
        <f t="shared" si="16"/>
        <v>0</v>
      </c>
      <c r="S88" s="3"/>
      <c r="T88" s="3">
        <v>83.58</v>
      </c>
      <c r="U88" s="3"/>
      <c r="V88" s="22">
        <f t="shared" si="17"/>
        <v>3.6711472554792148E-4</v>
      </c>
      <c r="W88" s="3"/>
      <c r="X88" s="3">
        <f t="shared" si="18"/>
        <v>-83.58</v>
      </c>
      <c r="Y88" s="3"/>
      <c r="Z88" s="22">
        <f t="shared" si="19"/>
        <v>-1</v>
      </c>
    </row>
    <row r="89" spans="1:26" s="24" customFormat="1" hidden="1" outlineLevel="1" x14ac:dyDescent="0.3">
      <c r="A89" s="50"/>
      <c r="B89" s="12" t="str">
        <f>CONCATENATE("          ", "5542", " - ", "FREIGHT-IN-EVERYDAY GIFTS")</f>
        <v xml:space="preserve">          5542 - FREIGHT-IN-EVERYDAY GIFTS</v>
      </c>
      <c r="C89" s="12"/>
      <c r="D89" s="3">
        <v>0</v>
      </c>
      <c r="E89" s="3"/>
      <c r="F89" s="22">
        <f t="shared" si="12"/>
        <v>0</v>
      </c>
      <c r="G89" s="3"/>
      <c r="H89" s="3">
        <v>5.94</v>
      </c>
      <c r="I89" s="3"/>
      <c r="J89" s="22">
        <f t="shared" si="13"/>
        <v>2.6090709138007341E-5</v>
      </c>
      <c r="K89" s="3"/>
      <c r="L89" s="3">
        <f t="shared" si="14"/>
        <v>-5.94</v>
      </c>
      <c r="M89" s="3"/>
      <c r="N89" s="22">
        <f t="shared" si="15"/>
        <v>-1</v>
      </c>
      <c r="O89" s="12"/>
      <c r="P89" s="3">
        <v>0</v>
      </c>
      <c r="Q89" s="3"/>
      <c r="R89" s="22">
        <f t="shared" si="16"/>
        <v>0</v>
      </c>
      <c r="S89" s="3"/>
      <c r="T89" s="3">
        <v>5.94</v>
      </c>
      <c r="U89" s="3"/>
      <c r="V89" s="22">
        <f t="shared" si="17"/>
        <v>2.6090709138007341E-5</v>
      </c>
      <c r="W89" s="3"/>
      <c r="X89" s="3">
        <f t="shared" si="18"/>
        <v>-5.94</v>
      </c>
      <c r="Y89" s="3"/>
      <c r="Z89" s="22">
        <f t="shared" si="19"/>
        <v>-1</v>
      </c>
    </row>
    <row r="90" spans="1:26" s="24" customFormat="1" hidden="1" outlineLevel="1" x14ac:dyDescent="0.3">
      <c r="A90" s="50"/>
      <c r="B90" s="12" t="str">
        <f>CONCATENATE("          ", "5544", " - ", "FREIGHT-IN-ACCESSORIES")</f>
        <v xml:space="preserve">          5544 - FREIGHT-IN-ACCESSORIES</v>
      </c>
      <c r="C90" s="12"/>
      <c r="D90" s="3">
        <v>0</v>
      </c>
      <c r="E90" s="3"/>
      <c r="F90" s="22">
        <f t="shared" si="12"/>
        <v>0</v>
      </c>
      <c r="G90" s="3"/>
      <c r="H90" s="3"/>
      <c r="I90" s="3"/>
      <c r="J90" s="22">
        <f t="shared" si="13"/>
        <v>0</v>
      </c>
      <c r="K90" s="3"/>
      <c r="L90" s="3">
        <f t="shared" si="14"/>
        <v>0</v>
      </c>
      <c r="M90" s="3"/>
      <c r="N90" s="22">
        <f t="shared" si="15"/>
        <v>0</v>
      </c>
      <c r="O90" s="12"/>
      <c r="P90" s="3">
        <v>0</v>
      </c>
      <c r="Q90" s="3"/>
      <c r="R90" s="22">
        <f t="shared" si="16"/>
        <v>0</v>
      </c>
      <c r="S90" s="3"/>
      <c r="T90" s="3"/>
      <c r="U90" s="3"/>
      <c r="V90" s="22">
        <f t="shared" si="17"/>
        <v>0</v>
      </c>
      <c r="W90" s="3"/>
      <c r="X90" s="3">
        <f t="shared" si="18"/>
        <v>0</v>
      </c>
      <c r="Y90" s="3"/>
      <c r="Z90" s="22">
        <f t="shared" si="19"/>
        <v>0</v>
      </c>
    </row>
    <row r="91" spans="1:26" s="24" customFormat="1" hidden="1" outlineLevel="1" x14ac:dyDescent="0.3">
      <c r="A91" s="50"/>
      <c r="B91" s="12" t="str">
        <f>CONCATENATE("          ", "5545", " - ", "FREIGHT-IN-SPECIAL ORDERS")</f>
        <v xml:space="preserve">          5545 - FREIGHT-IN-SPECIAL ORDERS</v>
      </c>
      <c r="C91" s="12"/>
      <c r="D91" s="3">
        <v>0</v>
      </c>
      <c r="E91" s="3"/>
      <c r="F91" s="22">
        <f t="shared" si="12"/>
        <v>0</v>
      </c>
      <c r="G91" s="3"/>
      <c r="H91" s="3">
        <v>300.39999999999998</v>
      </c>
      <c r="I91" s="3"/>
      <c r="J91" s="22">
        <f t="shared" si="13"/>
        <v>1.3194695328379469E-3</v>
      </c>
      <c r="K91" s="3"/>
      <c r="L91" s="3">
        <f t="shared" si="14"/>
        <v>-300.39999999999998</v>
      </c>
      <c r="M91" s="3"/>
      <c r="N91" s="22">
        <f t="shared" si="15"/>
        <v>-1</v>
      </c>
      <c r="O91" s="12"/>
      <c r="P91" s="3">
        <v>0</v>
      </c>
      <c r="Q91" s="3"/>
      <c r="R91" s="22">
        <f t="shared" si="16"/>
        <v>0</v>
      </c>
      <c r="S91" s="3"/>
      <c r="T91" s="3">
        <v>300.39999999999998</v>
      </c>
      <c r="U91" s="3"/>
      <c r="V91" s="22">
        <f t="shared" si="17"/>
        <v>1.3194695328379469E-3</v>
      </c>
      <c r="W91" s="3"/>
      <c r="X91" s="3">
        <f t="shared" si="18"/>
        <v>-300.39999999999998</v>
      </c>
      <c r="Y91" s="3"/>
      <c r="Z91" s="22">
        <f t="shared" si="19"/>
        <v>-1</v>
      </c>
    </row>
    <row r="92" spans="1:26" s="24" customFormat="1" hidden="1" outlineLevel="1" x14ac:dyDescent="0.3">
      <c r="A92" s="50"/>
      <c r="B92" s="12" t="str">
        <f>CONCATENATE("          ", "5592", " - ", "FREIGHT-IN-GRAD MERCH")</f>
        <v xml:space="preserve">          5592 - FREIGHT-IN-GRAD MERCH</v>
      </c>
      <c r="C92" s="12"/>
      <c r="D92" s="3"/>
      <c r="E92" s="3"/>
      <c r="F92" s="22">
        <f t="shared" si="12"/>
        <v>0</v>
      </c>
      <c r="G92" s="3"/>
      <c r="H92" s="3">
        <v>0</v>
      </c>
      <c r="I92" s="3"/>
      <c r="J92" s="22">
        <f t="shared" si="13"/>
        <v>0</v>
      </c>
      <c r="K92" s="3"/>
      <c r="L92" s="3">
        <f t="shared" si="14"/>
        <v>0</v>
      </c>
      <c r="M92" s="3"/>
      <c r="N92" s="22">
        <f t="shared" si="15"/>
        <v>0</v>
      </c>
      <c r="O92" s="12"/>
      <c r="P92" s="3"/>
      <c r="Q92" s="3"/>
      <c r="R92" s="22">
        <f t="shared" si="16"/>
        <v>0</v>
      </c>
      <c r="S92" s="3"/>
      <c r="T92" s="3">
        <v>0</v>
      </c>
      <c r="U92" s="3"/>
      <c r="V92" s="22">
        <f t="shared" si="17"/>
        <v>0</v>
      </c>
      <c r="W92" s="3"/>
      <c r="X92" s="3">
        <f t="shared" si="18"/>
        <v>0</v>
      </c>
      <c r="Y92" s="3"/>
      <c r="Z92" s="22">
        <f t="shared" si="19"/>
        <v>0</v>
      </c>
    </row>
    <row r="93" spans="1:26" x14ac:dyDescent="0.3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x14ac:dyDescent="0.3">
      <c r="A94" s="10"/>
      <c r="B94" s="26" t="s">
        <v>107</v>
      </c>
      <c r="C94" s="26"/>
      <c r="D94" s="20">
        <f>D12-D64</f>
        <v>93076.780000000028</v>
      </c>
      <c r="E94" s="13"/>
      <c r="F94" s="21">
        <f>IF(D$12=0,0,D94/D$12)</f>
        <v>0.42212032369240904</v>
      </c>
      <c r="G94" s="13"/>
      <c r="H94" s="20">
        <f>H12-H64</f>
        <v>86271.979999999923</v>
      </c>
      <c r="I94" s="13"/>
      <c r="J94" s="21">
        <f>IF(H$12=0,0,H94/H$12)</f>
        <v>0.37893891194275831</v>
      </c>
      <c r="K94" s="16"/>
      <c r="L94" s="20">
        <f>+D94-H94</f>
        <v>6804.8000000001048</v>
      </c>
      <c r="M94" s="16"/>
      <c r="N94" s="21">
        <f>IF(H94=0,0,L94/H94)</f>
        <v>7.8876131045098427E-2</v>
      </c>
      <c r="O94" s="25"/>
      <c r="P94" s="20">
        <f>P12-P64</f>
        <v>93076.780000000028</v>
      </c>
      <c r="Q94" s="13"/>
      <c r="R94" s="21">
        <f>IF(P$12=0,0,P94/P$12)</f>
        <v>0.42212032369240904</v>
      </c>
      <c r="S94" s="13"/>
      <c r="T94" s="20">
        <f>T12-T64</f>
        <v>86271.979999999923</v>
      </c>
      <c r="U94" s="13"/>
      <c r="V94" s="21">
        <f>IF(T$12=0,0,T94/T$12)</f>
        <v>0.37893891194275831</v>
      </c>
      <c r="W94" s="16"/>
      <c r="X94" s="20">
        <f>+P94-T94</f>
        <v>6804.8000000001048</v>
      </c>
      <c r="Y94" s="16"/>
      <c r="Z94" s="21">
        <f>IF(T94=0,0,X94/T94)</f>
        <v>7.8876131045098427E-2</v>
      </c>
    </row>
    <row r="95" spans="1:26" x14ac:dyDescent="0.3">
      <c r="A95" s="9"/>
      <c r="B95" s="10"/>
      <c r="C95" s="9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3">
      <c r="A96" s="10"/>
      <c r="B96" s="25" t="s">
        <v>294</v>
      </c>
      <c r="C96" s="10"/>
      <c r="D96" s="19">
        <f>SUM(OSRRefD22x_0)</f>
        <v>363430.32999999984</v>
      </c>
      <c r="E96" s="19"/>
      <c r="F96" s="35">
        <f t="shared" ref="F96:F107" si="20">IF(D$12=0,0,D96/D$12)</f>
        <v>1.6482234187650122</v>
      </c>
      <c r="G96" s="19"/>
      <c r="H96" s="19">
        <f>SUM(OSRRefH22x_0)</f>
        <v>318600.79999999993</v>
      </c>
      <c r="I96" s="19"/>
      <c r="J96" s="35">
        <f t="shared" ref="J96:J107" si="21">IF(H$12=0,0,H96/H$12)</f>
        <v>1.3994142767569777</v>
      </c>
      <c r="K96" s="4"/>
      <c r="L96" s="19">
        <f t="shared" ref="L96:L107" si="22">+D96-H96</f>
        <v>44829.529999999912</v>
      </c>
      <c r="M96" s="4"/>
      <c r="N96" s="35">
        <f t="shared" ref="N96:N107" si="23">IF(H96=0,0,L96/H96)</f>
        <v>0.14070752490263652</v>
      </c>
      <c r="O96" s="10"/>
      <c r="P96" s="19">
        <f>SUM(OSRRefP22x_0)</f>
        <v>363430.32999999984</v>
      </c>
      <c r="Q96" s="19"/>
      <c r="R96" s="35">
        <f t="shared" ref="R96:R107" si="24">IF(P$12=0,0,P96/P$12)</f>
        <v>1.6482234187650122</v>
      </c>
      <c r="S96" s="19"/>
      <c r="T96" s="19">
        <f>SUM(OSRRefT22x_0)</f>
        <v>318600.79999999993</v>
      </c>
      <c r="U96" s="19"/>
      <c r="V96" s="35">
        <f t="shared" ref="V96:V107" si="25">IF(T$12=0,0,T96/T$12)</f>
        <v>1.3994142767569777</v>
      </c>
      <c r="W96" s="4"/>
      <c r="X96" s="19">
        <f t="shared" ref="X96:X107" si="26">+P96-T96</f>
        <v>44829.529999999912</v>
      </c>
      <c r="Y96" s="4"/>
      <c r="Z96" s="35">
        <f t="shared" ref="Z96:Z107" si="27">IF(T96=0,0,X96/T96)</f>
        <v>0.14070752490263652</v>
      </c>
    </row>
    <row r="97" spans="1:26" s="29" customFormat="1" outlineLevel="1" collapsed="1" x14ac:dyDescent="0.3">
      <c r="A97" s="28"/>
      <c r="B97" s="14" t="str">
        <f>CONCATENATE("     ","*Benefits                                         ")</f>
        <v xml:space="preserve">     *Benefits                                         </v>
      </c>
      <c r="C97" s="14"/>
      <c r="D97" s="1">
        <f>SUM(OSRRefD22_0x_0)</f>
        <v>47426.359999999993</v>
      </c>
      <c r="E97" s="1"/>
      <c r="F97" s="5">
        <f t="shared" si="20"/>
        <v>0.21508726918521151</v>
      </c>
      <c r="G97" s="1"/>
      <c r="H97" s="1">
        <f>SUM(OSRRefH22_0x_0)</f>
        <v>40666.47</v>
      </c>
      <c r="I97" s="1"/>
      <c r="J97" s="5">
        <f t="shared" si="21"/>
        <v>0.17862239738038743</v>
      </c>
      <c r="K97" s="1"/>
      <c r="L97" s="1">
        <f t="shared" si="22"/>
        <v>6759.8899999999921</v>
      </c>
      <c r="M97" s="1"/>
      <c r="N97" s="5">
        <f t="shared" si="23"/>
        <v>0.16622760716629675</v>
      </c>
      <c r="O97" s="14"/>
      <c r="P97" s="1">
        <f>SUM(OSRRefP22_0x_0)</f>
        <v>47426.359999999993</v>
      </c>
      <c r="Q97" s="1"/>
      <c r="R97" s="5">
        <f t="shared" si="24"/>
        <v>0.21508726918521151</v>
      </c>
      <c r="S97" s="1"/>
      <c r="T97" s="1">
        <f>SUM(OSRRefT22_0x_0)</f>
        <v>40666.47</v>
      </c>
      <c r="U97" s="1"/>
      <c r="V97" s="5">
        <f t="shared" si="25"/>
        <v>0.17862239738038743</v>
      </c>
      <c r="W97" s="1"/>
      <c r="X97" s="1">
        <f t="shared" si="26"/>
        <v>6759.8899999999921</v>
      </c>
      <c r="Y97" s="1"/>
      <c r="Z97" s="5">
        <f t="shared" si="27"/>
        <v>0.16622760716629675</v>
      </c>
    </row>
    <row r="98" spans="1:26" s="24" customFormat="1" hidden="1" outlineLevel="2" x14ac:dyDescent="0.3">
      <c r="A98" s="27"/>
      <c r="B98" s="12" t="str">
        <f>CONCATENATE("          ", "6111", " - ", "F.I.C.A.")</f>
        <v xml:space="preserve">          6111 - F.I.C.A.</v>
      </c>
      <c r="C98" s="12"/>
      <c r="D98" s="8">
        <v>9628.01</v>
      </c>
      <c r="E98" s="3"/>
      <c r="F98" s="7">
        <f t="shared" si="20"/>
        <v>4.3664796931240528E-2</v>
      </c>
      <c r="G98" s="3"/>
      <c r="H98" s="8">
        <v>7566.94</v>
      </c>
      <c r="I98" s="3"/>
      <c r="J98" s="7">
        <f t="shared" si="21"/>
        <v>3.3236840169150378E-2</v>
      </c>
      <c r="K98" s="3"/>
      <c r="L98" s="8">
        <f t="shared" si="22"/>
        <v>2061.0700000000006</v>
      </c>
      <c r="M98" s="3"/>
      <c r="N98" s="7">
        <f t="shared" si="23"/>
        <v>0.27237826651195868</v>
      </c>
      <c r="O98" s="12"/>
      <c r="P98" s="8">
        <v>9628.01</v>
      </c>
      <c r="Q98" s="3"/>
      <c r="R98" s="7">
        <f t="shared" si="24"/>
        <v>4.3664796931240528E-2</v>
      </c>
      <c r="S98" s="3"/>
      <c r="T98" s="8">
        <v>7566.94</v>
      </c>
      <c r="U98" s="3"/>
      <c r="V98" s="7">
        <f t="shared" si="25"/>
        <v>3.3236840169150378E-2</v>
      </c>
      <c r="W98" s="3"/>
      <c r="X98" s="8">
        <f t="shared" si="26"/>
        <v>2061.0700000000006</v>
      </c>
      <c r="Y98" s="3"/>
      <c r="Z98" s="7">
        <f t="shared" si="27"/>
        <v>0.27237826651195868</v>
      </c>
    </row>
    <row r="99" spans="1:26" s="24" customFormat="1" hidden="1" outlineLevel="2" x14ac:dyDescent="0.3">
      <c r="A99" s="27"/>
      <c r="B99" s="12" t="str">
        <f>CONCATENATE("          ", "6112", " - ", "COMPENSATION INSURANCE")</f>
        <v xml:space="preserve">          6112 - COMPENSATION INSURANCE</v>
      </c>
      <c r="C99" s="12"/>
      <c r="D99" s="8">
        <v>1973.41</v>
      </c>
      <c r="E99" s="3"/>
      <c r="F99" s="7">
        <f t="shared" si="20"/>
        <v>8.9497774630561636E-3</v>
      </c>
      <c r="G99" s="3"/>
      <c r="H99" s="8">
        <v>1779.03</v>
      </c>
      <c r="I99" s="3"/>
      <c r="J99" s="7">
        <f t="shared" si="21"/>
        <v>7.8141673868331978E-3</v>
      </c>
      <c r="K99" s="3"/>
      <c r="L99" s="8">
        <f t="shared" si="22"/>
        <v>194.38000000000011</v>
      </c>
      <c r="M99" s="3"/>
      <c r="N99" s="7">
        <f t="shared" si="23"/>
        <v>0.10926178872756509</v>
      </c>
      <c r="O99" s="12"/>
      <c r="P99" s="8">
        <v>1973.41</v>
      </c>
      <c r="Q99" s="3"/>
      <c r="R99" s="7">
        <f t="shared" si="24"/>
        <v>8.9497774630561636E-3</v>
      </c>
      <c r="S99" s="3"/>
      <c r="T99" s="8">
        <v>1779.03</v>
      </c>
      <c r="U99" s="3"/>
      <c r="V99" s="7">
        <f t="shared" si="25"/>
        <v>7.8141673868331978E-3</v>
      </c>
      <c r="W99" s="3"/>
      <c r="X99" s="8">
        <f t="shared" si="26"/>
        <v>194.38000000000011</v>
      </c>
      <c r="Y99" s="3"/>
      <c r="Z99" s="7">
        <f t="shared" si="27"/>
        <v>0.10926178872756509</v>
      </c>
    </row>
    <row r="100" spans="1:26" s="24" customFormat="1" hidden="1" outlineLevel="2" x14ac:dyDescent="0.3">
      <c r="A100" s="27"/>
      <c r="B100" s="12" t="str">
        <f>CONCATENATE("          ", "6113", " - ", "GROUP INSURANCE")</f>
        <v xml:space="preserve">          6113 - GROUP INSURANCE</v>
      </c>
      <c r="C100" s="12"/>
      <c r="D100" s="8">
        <v>17896.5</v>
      </c>
      <c r="E100" s="3"/>
      <c r="F100" s="7">
        <f t="shared" si="20"/>
        <v>8.1163920506931969E-2</v>
      </c>
      <c r="G100" s="3"/>
      <c r="H100" s="8">
        <v>13468.68</v>
      </c>
      <c r="I100" s="3"/>
      <c r="J100" s="7">
        <f t="shared" si="21"/>
        <v>5.9159497029107187E-2</v>
      </c>
      <c r="K100" s="3"/>
      <c r="L100" s="8">
        <f t="shared" si="22"/>
        <v>4427.82</v>
      </c>
      <c r="M100" s="3"/>
      <c r="N100" s="7">
        <f t="shared" si="23"/>
        <v>0.32874936519391651</v>
      </c>
      <c r="O100" s="12"/>
      <c r="P100" s="8">
        <v>17896.5</v>
      </c>
      <c r="Q100" s="3"/>
      <c r="R100" s="7">
        <f t="shared" si="24"/>
        <v>8.1163920506931969E-2</v>
      </c>
      <c r="S100" s="3"/>
      <c r="T100" s="8">
        <v>13468.68</v>
      </c>
      <c r="U100" s="3"/>
      <c r="V100" s="7">
        <f t="shared" si="25"/>
        <v>5.9159497029107187E-2</v>
      </c>
      <c r="W100" s="3"/>
      <c r="X100" s="8">
        <f t="shared" si="26"/>
        <v>4427.82</v>
      </c>
      <c r="Y100" s="3"/>
      <c r="Z100" s="7">
        <f t="shared" si="27"/>
        <v>0.32874936519391651</v>
      </c>
    </row>
    <row r="101" spans="1:26" s="24" customFormat="1" hidden="1" outlineLevel="2" x14ac:dyDescent="0.3">
      <c r="A101" s="27"/>
      <c r="B101" s="12" t="str">
        <f>CONCATENATE("          ", "6114", " - ", "STATE UNEMPLOYMENT INSURANCE")</f>
        <v xml:space="preserve">          6114 - STATE UNEMPLOYMENT INSURANCE</v>
      </c>
      <c r="C101" s="12"/>
      <c r="D101" s="8">
        <v>357.53</v>
      </c>
      <c r="E101" s="3"/>
      <c r="F101" s="7">
        <f t="shared" si="20"/>
        <v>1.621464336537501E-3</v>
      </c>
      <c r="G101" s="3"/>
      <c r="H101" s="8">
        <v>275.08999999999997</v>
      </c>
      <c r="I101" s="3"/>
      <c r="J101" s="7">
        <f t="shared" si="21"/>
        <v>1.2082985146084912E-3</v>
      </c>
      <c r="K101" s="3"/>
      <c r="L101" s="8">
        <f t="shared" si="22"/>
        <v>82.44</v>
      </c>
      <c r="M101" s="3"/>
      <c r="N101" s="7">
        <f t="shared" si="23"/>
        <v>0.29968373986695263</v>
      </c>
      <c r="O101" s="12"/>
      <c r="P101" s="8">
        <v>357.53</v>
      </c>
      <c r="Q101" s="3"/>
      <c r="R101" s="7">
        <f t="shared" si="24"/>
        <v>1.621464336537501E-3</v>
      </c>
      <c r="S101" s="3"/>
      <c r="T101" s="8">
        <v>275.08999999999997</v>
      </c>
      <c r="U101" s="3"/>
      <c r="V101" s="7">
        <f t="shared" si="25"/>
        <v>1.2082985146084912E-3</v>
      </c>
      <c r="W101" s="3"/>
      <c r="X101" s="8">
        <f t="shared" si="26"/>
        <v>82.44</v>
      </c>
      <c r="Y101" s="3"/>
      <c r="Z101" s="7">
        <f t="shared" si="27"/>
        <v>0.29968373986695263</v>
      </c>
    </row>
    <row r="102" spans="1:26" s="24" customFormat="1" hidden="1" outlineLevel="2" x14ac:dyDescent="0.3">
      <c r="A102" s="27"/>
      <c r="B102" s="12" t="str">
        <f>CONCATENATE("          ", "6115", " - ", "P.E.R.S.")</f>
        <v xml:space="preserve">          6115 - P.E.R.S.</v>
      </c>
      <c r="C102" s="12"/>
      <c r="D102" s="8">
        <v>6296.23</v>
      </c>
      <c r="E102" s="3"/>
      <c r="F102" s="7">
        <f t="shared" si="20"/>
        <v>2.8554561574238552E-2</v>
      </c>
      <c r="G102" s="3"/>
      <c r="H102" s="8">
        <v>8158.49</v>
      </c>
      <c r="I102" s="3"/>
      <c r="J102" s="7">
        <f t="shared" si="21"/>
        <v>3.5835149763525503E-2</v>
      </c>
      <c r="K102" s="3"/>
      <c r="L102" s="8">
        <f t="shared" si="22"/>
        <v>-1862.2600000000002</v>
      </c>
      <c r="M102" s="3"/>
      <c r="N102" s="7">
        <f t="shared" si="23"/>
        <v>-0.22826037661380968</v>
      </c>
      <c r="O102" s="12"/>
      <c r="P102" s="8">
        <v>6296.23</v>
      </c>
      <c r="Q102" s="3"/>
      <c r="R102" s="7">
        <f t="shared" si="24"/>
        <v>2.8554561574238552E-2</v>
      </c>
      <c r="S102" s="3"/>
      <c r="T102" s="8">
        <v>8158.49</v>
      </c>
      <c r="U102" s="3"/>
      <c r="V102" s="7">
        <f t="shared" si="25"/>
        <v>3.5835149763525503E-2</v>
      </c>
      <c r="W102" s="3"/>
      <c r="X102" s="8">
        <f t="shared" si="26"/>
        <v>-1862.2600000000002</v>
      </c>
      <c r="Y102" s="3"/>
      <c r="Z102" s="7">
        <f t="shared" si="27"/>
        <v>-0.22826037661380968</v>
      </c>
    </row>
    <row r="103" spans="1:26" s="24" customFormat="1" hidden="1" outlineLevel="2" x14ac:dyDescent="0.3">
      <c r="A103" s="27"/>
      <c r="B103" s="12" t="str">
        <f>CONCATENATE("          ", "6116", " - ", "EDUCATIONAL BENEFITS")</f>
        <v xml:space="preserve">          6116 - EDUCATIONAL BENEFITS</v>
      </c>
      <c r="C103" s="12"/>
      <c r="D103" s="8"/>
      <c r="E103" s="3"/>
      <c r="F103" s="7">
        <f t="shared" si="20"/>
        <v>0</v>
      </c>
      <c r="G103" s="3"/>
      <c r="H103" s="8">
        <v>0</v>
      </c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/>
      <c r="Q103" s="3"/>
      <c r="R103" s="7">
        <f t="shared" si="24"/>
        <v>0</v>
      </c>
      <c r="S103" s="3"/>
      <c r="T103" s="8">
        <v>0</v>
      </c>
      <c r="U103" s="3"/>
      <c r="V103" s="7">
        <f t="shared" si="25"/>
        <v>0</v>
      </c>
      <c r="W103" s="3"/>
      <c r="X103" s="8">
        <f t="shared" si="26"/>
        <v>0</v>
      </c>
      <c r="Y103" s="3"/>
      <c r="Z103" s="7">
        <f t="shared" si="27"/>
        <v>0</v>
      </c>
    </row>
    <row r="104" spans="1:26" s="24" customFormat="1" hidden="1" outlineLevel="2" x14ac:dyDescent="0.3">
      <c r="A104" s="27"/>
      <c r="B104" s="12" t="str">
        <f>CONCATENATE("          ", "6117", " - ", "RETIREMENT STAFF HOURLY")</f>
        <v xml:space="preserve">          6117 - RETIREMENT STAFF HOURLY</v>
      </c>
      <c r="C104" s="12"/>
      <c r="D104" s="8">
        <v>552.85</v>
      </c>
      <c r="E104" s="3"/>
      <c r="F104" s="7">
        <f t="shared" si="20"/>
        <v>2.5072764759733659E-3</v>
      </c>
      <c r="G104" s="3"/>
      <c r="H104" s="8">
        <v>333.14</v>
      </c>
      <c r="I104" s="3"/>
      <c r="J104" s="7">
        <f t="shared" si="21"/>
        <v>1.4632758993662904E-3</v>
      </c>
      <c r="K104" s="3"/>
      <c r="L104" s="8">
        <f t="shared" si="22"/>
        <v>219.71000000000004</v>
      </c>
      <c r="M104" s="3"/>
      <c r="N104" s="7">
        <f t="shared" si="23"/>
        <v>0.65951251726001092</v>
      </c>
      <c r="O104" s="12"/>
      <c r="P104" s="8">
        <v>552.85</v>
      </c>
      <c r="Q104" s="3"/>
      <c r="R104" s="7">
        <f t="shared" si="24"/>
        <v>2.5072764759733659E-3</v>
      </c>
      <c r="S104" s="3"/>
      <c r="T104" s="8">
        <v>333.14</v>
      </c>
      <c r="U104" s="3"/>
      <c r="V104" s="7">
        <f t="shared" si="25"/>
        <v>1.4632758993662904E-3</v>
      </c>
      <c r="W104" s="3"/>
      <c r="X104" s="8">
        <f t="shared" si="26"/>
        <v>219.71000000000004</v>
      </c>
      <c r="Y104" s="3"/>
      <c r="Z104" s="7">
        <f t="shared" si="27"/>
        <v>0.65951251726001092</v>
      </c>
    </row>
    <row r="105" spans="1:26" s="24" customFormat="1" hidden="1" outlineLevel="2" x14ac:dyDescent="0.3">
      <c r="A105" s="27"/>
      <c r="B105" s="12" t="str">
        <f>CONCATENATE("          ", "6118", " - ", "VACATION")</f>
        <v xml:space="preserve">          6118 - VACATION</v>
      </c>
      <c r="C105" s="12"/>
      <c r="D105" s="8">
        <v>5400.79</v>
      </c>
      <c r="E105" s="3"/>
      <c r="F105" s="7">
        <f t="shared" si="20"/>
        <v>2.4493576410730206E-2</v>
      </c>
      <c r="G105" s="3"/>
      <c r="H105" s="8">
        <v>4733.7</v>
      </c>
      <c r="I105" s="3"/>
      <c r="J105" s="7">
        <f t="shared" si="21"/>
        <v>2.0792186842859484E-2</v>
      </c>
      <c r="K105" s="3"/>
      <c r="L105" s="8">
        <f t="shared" si="22"/>
        <v>667.09000000000015</v>
      </c>
      <c r="M105" s="3"/>
      <c r="N105" s="7">
        <f t="shared" si="23"/>
        <v>0.14092359042609379</v>
      </c>
      <c r="O105" s="12"/>
      <c r="P105" s="8">
        <v>5400.79</v>
      </c>
      <c r="Q105" s="3"/>
      <c r="R105" s="7">
        <f t="shared" si="24"/>
        <v>2.4493576410730206E-2</v>
      </c>
      <c r="S105" s="3"/>
      <c r="T105" s="8">
        <v>4733.7</v>
      </c>
      <c r="U105" s="3"/>
      <c r="V105" s="7">
        <f t="shared" si="25"/>
        <v>2.0792186842859484E-2</v>
      </c>
      <c r="W105" s="3"/>
      <c r="X105" s="8">
        <f t="shared" si="26"/>
        <v>667.09000000000015</v>
      </c>
      <c r="Y105" s="3"/>
      <c r="Z105" s="7">
        <f t="shared" si="27"/>
        <v>0.14092359042609379</v>
      </c>
    </row>
    <row r="106" spans="1:26" s="24" customFormat="1" hidden="1" outlineLevel="2" x14ac:dyDescent="0.3">
      <c r="A106" s="27"/>
      <c r="B106" s="12" t="str">
        <f>CONCATENATE("          ", "6119", " - ", "SICK LEAVE")</f>
        <v xml:space="preserve">          6119 - SICK LEAVE</v>
      </c>
      <c r="C106" s="12"/>
      <c r="D106" s="8">
        <v>3886.05</v>
      </c>
      <c r="E106" s="3"/>
      <c r="F106" s="7">
        <f t="shared" si="20"/>
        <v>1.7623951794259379E-2</v>
      </c>
      <c r="G106" s="3"/>
      <c r="H106" s="8">
        <v>3335.98</v>
      </c>
      <c r="I106" s="3"/>
      <c r="J106" s="7">
        <f t="shared" si="21"/>
        <v>1.465287607242588E-2</v>
      </c>
      <c r="K106" s="3"/>
      <c r="L106" s="8">
        <f t="shared" si="22"/>
        <v>550.07000000000016</v>
      </c>
      <c r="M106" s="3"/>
      <c r="N106" s="7">
        <f t="shared" si="23"/>
        <v>0.1648900772786408</v>
      </c>
      <c r="O106" s="12"/>
      <c r="P106" s="8">
        <v>3886.05</v>
      </c>
      <c r="Q106" s="3"/>
      <c r="R106" s="7">
        <f t="shared" si="24"/>
        <v>1.7623951794259379E-2</v>
      </c>
      <c r="S106" s="3"/>
      <c r="T106" s="8">
        <v>3335.98</v>
      </c>
      <c r="U106" s="3"/>
      <c r="V106" s="7">
        <f t="shared" si="25"/>
        <v>1.465287607242588E-2</v>
      </c>
      <c r="W106" s="3"/>
      <c r="X106" s="8">
        <f t="shared" si="26"/>
        <v>550.07000000000016</v>
      </c>
      <c r="Y106" s="3"/>
      <c r="Z106" s="7">
        <f t="shared" si="27"/>
        <v>0.1648900772786408</v>
      </c>
    </row>
    <row r="107" spans="1:26" s="24" customFormat="1" hidden="1" outlineLevel="2" x14ac:dyDescent="0.3">
      <c r="A107" s="27"/>
      <c r="B107" s="12" t="str">
        <f>CONCATENATE("          ", "6156", " - ", "EMPLOYEE MEALS")</f>
        <v xml:space="preserve">          6156 - EMPLOYEE MEALS</v>
      </c>
      <c r="C107" s="12"/>
      <c r="D107" s="8">
        <v>1434.99</v>
      </c>
      <c r="E107" s="3"/>
      <c r="F107" s="7">
        <f t="shared" si="20"/>
        <v>6.5079436922438642E-3</v>
      </c>
      <c r="G107" s="3"/>
      <c r="H107" s="8">
        <v>1015.42</v>
      </c>
      <c r="I107" s="3"/>
      <c r="J107" s="7">
        <f t="shared" si="21"/>
        <v>4.4601057025110118E-3</v>
      </c>
      <c r="K107" s="3"/>
      <c r="L107" s="8">
        <f t="shared" si="22"/>
        <v>419.57000000000005</v>
      </c>
      <c r="M107" s="3"/>
      <c r="N107" s="7">
        <f t="shared" si="23"/>
        <v>0.41319847944692845</v>
      </c>
      <c r="O107" s="12"/>
      <c r="P107" s="8">
        <v>1434.99</v>
      </c>
      <c r="Q107" s="3"/>
      <c r="R107" s="7">
        <f t="shared" si="24"/>
        <v>6.5079436922438642E-3</v>
      </c>
      <c r="S107" s="3"/>
      <c r="T107" s="8">
        <v>1015.42</v>
      </c>
      <c r="U107" s="3"/>
      <c r="V107" s="7">
        <f t="shared" si="25"/>
        <v>4.4601057025110118E-3</v>
      </c>
      <c r="W107" s="3"/>
      <c r="X107" s="8">
        <f t="shared" si="26"/>
        <v>419.57000000000005</v>
      </c>
      <c r="Y107" s="3"/>
      <c r="Z107" s="7">
        <f t="shared" si="27"/>
        <v>0.41319847944692845</v>
      </c>
    </row>
    <row r="108" spans="1:26" s="29" customFormat="1" outlineLevel="1" collapsed="1" x14ac:dyDescent="0.3">
      <c r="A108" s="28"/>
      <c r="B108" s="14" t="str">
        <f>CONCATENATE("     ","*Payroll                                          ")</f>
        <v xml:space="preserve">     *Payroll                                          </v>
      </c>
      <c r="C108" s="14"/>
      <c r="D108" s="1">
        <f>SUM(OSRRefD22_1x_0)</f>
        <v>166272.59000000003</v>
      </c>
      <c r="E108" s="1"/>
      <c r="F108" s="5">
        <f t="shared" ref="F108:F115" si="28">IF(D$12=0,0,D108/D$12)</f>
        <v>0.75407679027975827</v>
      </c>
      <c r="G108" s="1"/>
      <c r="H108" s="1">
        <f>SUM(OSRRefH22_1x_0)</f>
        <v>120477.56000000001</v>
      </c>
      <c r="I108" s="1"/>
      <c r="J108" s="5">
        <f t="shared" ref="J108:J115" si="29">IF(H$12=0,0,H108/H$12)</f>
        <v>0.52918265582774882</v>
      </c>
      <c r="K108" s="1"/>
      <c r="L108" s="1">
        <f t="shared" ref="L108:L115" si="30">+D108-H108</f>
        <v>45795.030000000013</v>
      </c>
      <c r="M108" s="1"/>
      <c r="N108" s="5">
        <f t="shared" ref="N108:N115" si="31">IF(H108=0,0,L108/H108)</f>
        <v>0.38011252883939556</v>
      </c>
      <c r="O108" s="14"/>
      <c r="P108" s="1">
        <f>SUM(OSRRefP22_1x_0)</f>
        <v>166272.59000000003</v>
      </c>
      <c r="Q108" s="1"/>
      <c r="R108" s="5">
        <f t="shared" ref="R108:R115" si="32">IF(P$12=0,0,P108/P$12)</f>
        <v>0.75407679027975827</v>
      </c>
      <c r="S108" s="1"/>
      <c r="T108" s="1">
        <f>SUM(OSRRefT22_1x_0)</f>
        <v>120477.56000000001</v>
      </c>
      <c r="U108" s="1"/>
      <c r="V108" s="5">
        <f t="shared" ref="V108:V115" si="33">IF(T$12=0,0,T108/T$12)</f>
        <v>0.52918265582774882</v>
      </c>
      <c r="W108" s="1"/>
      <c r="X108" s="1">
        <f t="shared" ref="X108:X115" si="34">+P108-T108</f>
        <v>45795.030000000013</v>
      </c>
      <c r="Y108" s="1"/>
      <c r="Z108" s="5">
        <f t="shared" ref="Z108:Z115" si="35">IF(T108=0,0,X108/T108)</f>
        <v>0.38011252883939556</v>
      </c>
    </row>
    <row r="109" spans="1:26" s="24" customFormat="1" hidden="1" outlineLevel="2" x14ac:dyDescent="0.3">
      <c r="A109" s="27"/>
      <c r="B109" s="12" t="str">
        <f>CONCATENATE("          ", "6001", " - ", "ADMINISTRATIVE SALARIES")</f>
        <v xml:space="preserve">          6001 - ADMINISTRATIVE SALARIES</v>
      </c>
      <c r="C109" s="12"/>
      <c r="D109" s="8">
        <v>5599.1</v>
      </c>
      <c r="E109" s="3"/>
      <c r="F109" s="7">
        <f t="shared" si="28"/>
        <v>2.5392948750334581E-2</v>
      </c>
      <c r="G109" s="3"/>
      <c r="H109" s="8">
        <v>4525.8500000000004</v>
      </c>
      <c r="I109" s="3"/>
      <c r="J109" s="7">
        <f t="shared" si="29"/>
        <v>1.9879231641793019E-2</v>
      </c>
      <c r="K109" s="3"/>
      <c r="L109" s="8">
        <f t="shared" si="30"/>
        <v>1073.25</v>
      </c>
      <c r="M109" s="3"/>
      <c r="N109" s="7">
        <f t="shared" si="31"/>
        <v>0.23713777522454343</v>
      </c>
      <c r="O109" s="12"/>
      <c r="P109" s="8">
        <v>5599.1</v>
      </c>
      <c r="Q109" s="3"/>
      <c r="R109" s="7">
        <f t="shared" si="32"/>
        <v>2.5392948750334581E-2</v>
      </c>
      <c r="S109" s="3"/>
      <c r="T109" s="8">
        <v>4525.8500000000004</v>
      </c>
      <c r="U109" s="3"/>
      <c r="V109" s="7">
        <f t="shared" si="33"/>
        <v>1.9879231641793019E-2</v>
      </c>
      <c r="W109" s="3"/>
      <c r="X109" s="8">
        <f t="shared" si="34"/>
        <v>1073.25</v>
      </c>
      <c r="Y109" s="3"/>
      <c r="Z109" s="7">
        <f t="shared" si="35"/>
        <v>0.23713777522454343</v>
      </c>
    </row>
    <row r="110" spans="1:26" s="24" customFormat="1" hidden="1" outlineLevel="2" x14ac:dyDescent="0.3">
      <c r="A110" s="27"/>
      <c r="B110" s="12" t="str">
        <f>CONCATENATE("          ", "6002", " - ", "STAFF SALARIES")</f>
        <v xml:space="preserve">          6002 - STAFF SALARIES</v>
      </c>
      <c r="C110" s="12"/>
      <c r="D110" s="8">
        <v>68536.740000000005</v>
      </c>
      <c r="E110" s="3"/>
      <c r="F110" s="7">
        <f t="shared" si="28"/>
        <v>0.31082672685520996</v>
      </c>
      <c r="G110" s="3"/>
      <c r="H110" s="8">
        <v>64436.4</v>
      </c>
      <c r="I110" s="3"/>
      <c r="J110" s="7">
        <f t="shared" si="29"/>
        <v>0.28302885021890506</v>
      </c>
      <c r="K110" s="3"/>
      <c r="L110" s="8">
        <f t="shared" si="30"/>
        <v>4100.3400000000038</v>
      </c>
      <c r="M110" s="3"/>
      <c r="N110" s="7">
        <f t="shared" si="31"/>
        <v>6.3633908784475918E-2</v>
      </c>
      <c r="O110" s="12"/>
      <c r="P110" s="8">
        <v>68536.740000000005</v>
      </c>
      <c r="Q110" s="3"/>
      <c r="R110" s="7">
        <f t="shared" si="32"/>
        <v>0.31082672685520996</v>
      </c>
      <c r="S110" s="3"/>
      <c r="T110" s="8">
        <v>64436.4</v>
      </c>
      <c r="U110" s="3"/>
      <c r="V110" s="7">
        <f t="shared" si="33"/>
        <v>0.28302885021890506</v>
      </c>
      <c r="W110" s="3"/>
      <c r="X110" s="8">
        <f t="shared" si="34"/>
        <v>4100.3400000000038</v>
      </c>
      <c r="Y110" s="3"/>
      <c r="Z110" s="7">
        <f t="shared" si="35"/>
        <v>6.3633908784475918E-2</v>
      </c>
    </row>
    <row r="111" spans="1:26" s="24" customFormat="1" hidden="1" outlineLevel="2" x14ac:dyDescent="0.3">
      <c r="A111" s="27"/>
      <c r="B111" s="12" t="str">
        <f>CONCATENATE("          ", "6004", " - ", "STAFF HOURLY")</f>
        <v xml:space="preserve">          6004 - STAFF HOURLY</v>
      </c>
      <c r="C111" s="12"/>
      <c r="D111" s="8">
        <v>18084.38</v>
      </c>
      <c r="E111" s="3"/>
      <c r="F111" s="7">
        <f t="shared" si="28"/>
        <v>8.2015990877386674E-2</v>
      </c>
      <c r="G111" s="3"/>
      <c r="H111" s="8">
        <v>15713.52</v>
      </c>
      <c r="I111" s="3"/>
      <c r="J111" s="7">
        <f t="shared" si="29"/>
        <v>6.9019676743141606E-2</v>
      </c>
      <c r="K111" s="3"/>
      <c r="L111" s="8">
        <f t="shared" si="30"/>
        <v>2370.8600000000006</v>
      </c>
      <c r="M111" s="3"/>
      <c r="N111" s="7">
        <f t="shared" si="31"/>
        <v>0.15088026107453967</v>
      </c>
      <c r="O111" s="12"/>
      <c r="P111" s="8">
        <v>18084.38</v>
      </c>
      <c r="Q111" s="3"/>
      <c r="R111" s="7">
        <f t="shared" si="32"/>
        <v>8.2015990877386674E-2</v>
      </c>
      <c r="S111" s="3"/>
      <c r="T111" s="8">
        <v>15713.52</v>
      </c>
      <c r="U111" s="3"/>
      <c r="V111" s="7">
        <f t="shared" si="33"/>
        <v>6.9019676743141606E-2</v>
      </c>
      <c r="W111" s="3"/>
      <c r="X111" s="8">
        <f t="shared" si="34"/>
        <v>2370.8600000000006</v>
      </c>
      <c r="Y111" s="3"/>
      <c r="Z111" s="7">
        <f t="shared" si="35"/>
        <v>0.15088026107453967</v>
      </c>
    </row>
    <row r="112" spans="1:26" s="24" customFormat="1" hidden="1" outlineLevel="2" x14ac:dyDescent="0.3">
      <c r="A112" s="27"/>
      <c r="B112" s="12" t="str">
        <f>CONCATENATE("          ", "6005", " - ", "TEMPORARY WAGES-HOURLY")</f>
        <v xml:space="preserve">          6005 - TEMPORARY WAGES-HOURLY</v>
      </c>
      <c r="C112" s="12"/>
      <c r="D112" s="8">
        <v>9447.7999999999993</v>
      </c>
      <c r="E112" s="3"/>
      <c r="F112" s="7">
        <f t="shared" si="28"/>
        <v>4.2847511422087661E-2</v>
      </c>
      <c r="G112" s="3"/>
      <c r="H112" s="8">
        <v>12385.55</v>
      </c>
      <c r="I112" s="3"/>
      <c r="J112" s="7">
        <f t="shared" si="29"/>
        <v>5.4401983596674544E-2</v>
      </c>
      <c r="K112" s="3"/>
      <c r="L112" s="8">
        <f t="shared" si="30"/>
        <v>-2937.75</v>
      </c>
      <c r="M112" s="3"/>
      <c r="N112" s="7">
        <f t="shared" si="31"/>
        <v>-0.23719172745659259</v>
      </c>
      <c r="O112" s="12"/>
      <c r="P112" s="8">
        <v>9447.7999999999993</v>
      </c>
      <c r="Q112" s="3"/>
      <c r="R112" s="7">
        <f t="shared" si="32"/>
        <v>4.2847511422087661E-2</v>
      </c>
      <c r="S112" s="3"/>
      <c r="T112" s="8">
        <v>12385.55</v>
      </c>
      <c r="U112" s="3"/>
      <c r="V112" s="7">
        <f t="shared" si="33"/>
        <v>5.4401983596674544E-2</v>
      </c>
      <c r="W112" s="3"/>
      <c r="X112" s="8">
        <f t="shared" si="34"/>
        <v>-2937.75</v>
      </c>
      <c r="Y112" s="3"/>
      <c r="Z112" s="7">
        <f t="shared" si="35"/>
        <v>-0.23719172745659259</v>
      </c>
    </row>
    <row r="113" spans="1:26" s="24" customFormat="1" hidden="1" outlineLevel="2" x14ac:dyDescent="0.3">
      <c r="A113" s="27"/>
      <c r="B113" s="12" t="str">
        <f>CONCATENATE("          ", "6006", " - ", "TEMPORARY PART TIME")</f>
        <v xml:space="preserve">          6006 - TEMPORARY PART TIME</v>
      </c>
      <c r="C113" s="12"/>
      <c r="D113" s="8">
        <v>2864.4</v>
      </c>
      <c r="E113" s="3"/>
      <c r="F113" s="7">
        <f t="shared" si="28"/>
        <v>1.2990581057751848E-2</v>
      </c>
      <c r="G113" s="3"/>
      <c r="H113" s="8">
        <v>2048.21</v>
      </c>
      <c r="I113" s="3"/>
      <c r="J113" s="7">
        <f t="shared" si="29"/>
        <v>8.9965069635619555E-3</v>
      </c>
      <c r="K113" s="3"/>
      <c r="L113" s="8">
        <f t="shared" si="30"/>
        <v>816.19</v>
      </c>
      <c r="M113" s="3"/>
      <c r="N113" s="7">
        <f t="shared" si="31"/>
        <v>0.3984894127067049</v>
      </c>
      <c r="O113" s="12"/>
      <c r="P113" s="8">
        <v>2864.4</v>
      </c>
      <c r="Q113" s="3"/>
      <c r="R113" s="7">
        <f t="shared" si="32"/>
        <v>1.2990581057751848E-2</v>
      </c>
      <c r="S113" s="3"/>
      <c r="T113" s="8">
        <v>2048.21</v>
      </c>
      <c r="U113" s="3"/>
      <c r="V113" s="7">
        <f t="shared" si="33"/>
        <v>8.9965069635619555E-3</v>
      </c>
      <c r="W113" s="3"/>
      <c r="X113" s="8">
        <f t="shared" si="34"/>
        <v>816.19</v>
      </c>
      <c r="Y113" s="3"/>
      <c r="Z113" s="7">
        <f t="shared" si="35"/>
        <v>0.3984894127067049</v>
      </c>
    </row>
    <row r="114" spans="1:26" s="24" customFormat="1" hidden="1" outlineLevel="2" x14ac:dyDescent="0.3">
      <c r="A114" s="27"/>
      <c r="B114" s="12" t="str">
        <f>CONCATENATE("          ", "6007", " - ", "STUDENT HOURLY")</f>
        <v xml:space="preserve">          6007 - STUDENT HOURLY</v>
      </c>
      <c r="C114" s="12"/>
      <c r="D114" s="8">
        <v>51955.82</v>
      </c>
      <c r="E114" s="3"/>
      <c r="F114" s="7">
        <f t="shared" si="28"/>
        <v>0.23562920371874199</v>
      </c>
      <c r="G114" s="3"/>
      <c r="H114" s="8">
        <v>21368.03</v>
      </c>
      <c r="I114" s="3"/>
      <c r="J114" s="7">
        <f t="shared" si="29"/>
        <v>9.3856406663672551E-2</v>
      </c>
      <c r="K114" s="3"/>
      <c r="L114" s="8">
        <f t="shared" si="30"/>
        <v>30587.79</v>
      </c>
      <c r="M114" s="3"/>
      <c r="N114" s="7">
        <f t="shared" si="31"/>
        <v>1.4314744971810691</v>
      </c>
      <c r="O114" s="12"/>
      <c r="P114" s="8">
        <v>51955.82</v>
      </c>
      <c r="Q114" s="3"/>
      <c r="R114" s="7">
        <f t="shared" si="32"/>
        <v>0.23562920371874199</v>
      </c>
      <c r="S114" s="3"/>
      <c r="T114" s="8">
        <v>21368.03</v>
      </c>
      <c r="U114" s="3"/>
      <c r="V114" s="7">
        <f t="shared" si="33"/>
        <v>9.3856406663672551E-2</v>
      </c>
      <c r="W114" s="3"/>
      <c r="X114" s="8">
        <f t="shared" si="34"/>
        <v>30587.79</v>
      </c>
      <c r="Y114" s="3"/>
      <c r="Z114" s="7">
        <f t="shared" si="35"/>
        <v>1.4314744971810691</v>
      </c>
    </row>
    <row r="115" spans="1:26" s="24" customFormat="1" hidden="1" outlineLevel="2" x14ac:dyDescent="0.3">
      <c r="A115" s="27"/>
      <c r="B115" s="12" t="str">
        <f>CONCATENATE("          ", "6008", " - ", "STUDENT HOURLY-FICA EXEMPT")</f>
        <v xml:space="preserve">          6008 - STUDENT HOURLY-FICA EXEMPT</v>
      </c>
      <c r="C115" s="12"/>
      <c r="D115" s="8">
        <v>9784.35</v>
      </c>
      <c r="E115" s="3"/>
      <c r="F115" s="7">
        <f t="shared" si="28"/>
        <v>4.4373827598245458E-2</v>
      </c>
      <c r="G115" s="3"/>
      <c r="H115" s="8"/>
      <c r="I115" s="3"/>
      <c r="J115" s="7">
        <f t="shared" si="29"/>
        <v>0</v>
      </c>
      <c r="K115" s="3"/>
      <c r="L115" s="8">
        <f t="shared" si="30"/>
        <v>9784.35</v>
      </c>
      <c r="M115" s="3"/>
      <c r="N115" s="7">
        <f t="shared" si="31"/>
        <v>0</v>
      </c>
      <c r="O115" s="12"/>
      <c r="P115" s="8">
        <v>9784.35</v>
      </c>
      <c r="Q115" s="3"/>
      <c r="R115" s="7">
        <f t="shared" si="32"/>
        <v>4.4373827598245458E-2</v>
      </c>
      <c r="S115" s="3"/>
      <c r="T115" s="8"/>
      <c r="U115" s="3"/>
      <c r="V115" s="7">
        <f t="shared" si="33"/>
        <v>0</v>
      </c>
      <c r="W115" s="3"/>
      <c r="X115" s="8">
        <f t="shared" si="34"/>
        <v>9784.35</v>
      </c>
      <c r="Y115" s="3"/>
      <c r="Z115" s="7">
        <f t="shared" si="35"/>
        <v>0</v>
      </c>
    </row>
    <row r="116" spans="1:26" s="29" customFormat="1" outlineLevel="1" collapsed="1" x14ac:dyDescent="0.3">
      <c r="A116" s="28"/>
      <c r="B116" s="14" t="str">
        <f>CONCATENATE("     ","Advertising/Promo                                 ")</f>
        <v xml:space="preserve">     Advertising/Promo                                 </v>
      </c>
      <c r="C116" s="14"/>
      <c r="D116" s="1">
        <f>SUM(OSRRefD22_2x_0)</f>
        <v>493.63</v>
      </c>
      <c r="E116" s="1"/>
      <c r="F116" s="5">
        <f t="shared" ref="F116:F124" si="36">IF(D$12=0,0,D116/D$12)</f>
        <v>2.2387028793248304E-3</v>
      </c>
      <c r="G116" s="1"/>
      <c r="H116" s="1">
        <f>SUM(OSRRefH22_2x_0)</f>
        <v>2590.83</v>
      </c>
      <c r="I116" s="1"/>
      <c r="J116" s="5">
        <f t="shared" ref="J116:J124" si="37">IF(H$12=0,0,H116/H$12)</f>
        <v>1.13798976356942E-2</v>
      </c>
      <c r="K116" s="1"/>
      <c r="L116" s="1">
        <f t="shared" ref="L116:L124" si="38">+D116-H116</f>
        <v>-2097.1999999999998</v>
      </c>
      <c r="M116" s="1"/>
      <c r="N116" s="5">
        <f t="shared" ref="N116:N124" si="39">IF(H116=0,0,L116/H116)</f>
        <v>-0.80947032418182585</v>
      </c>
      <c r="O116" s="14"/>
      <c r="P116" s="1">
        <f>SUM(OSRRefP22_2x_0)</f>
        <v>493.63</v>
      </c>
      <c r="Q116" s="1"/>
      <c r="R116" s="5">
        <f t="shared" ref="R116:R124" si="40">IF(P$12=0,0,P116/P$12)</f>
        <v>2.2387028793248304E-3</v>
      </c>
      <c r="S116" s="1"/>
      <c r="T116" s="1">
        <f>SUM(OSRRefT22_2x_0)</f>
        <v>2590.83</v>
      </c>
      <c r="U116" s="1"/>
      <c r="V116" s="5">
        <f t="shared" ref="V116:V124" si="41">IF(T$12=0,0,T116/T$12)</f>
        <v>1.13798976356942E-2</v>
      </c>
      <c r="W116" s="1"/>
      <c r="X116" s="1">
        <f t="shared" ref="X116:X124" si="42">+P116-T116</f>
        <v>-2097.1999999999998</v>
      </c>
      <c r="Y116" s="1"/>
      <c r="Z116" s="5">
        <f t="shared" ref="Z116:Z124" si="43">IF(T116=0,0,X116/T116)</f>
        <v>-0.80947032418182585</v>
      </c>
    </row>
    <row r="117" spans="1:26" s="24" customFormat="1" hidden="1" outlineLevel="2" x14ac:dyDescent="0.3">
      <c r="A117" s="27"/>
      <c r="B117" s="12" t="str">
        <f>CONCATENATE("          ", "6362", " - ", "ADVERTISING EXPENSE")</f>
        <v xml:space="preserve">          6362 - ADVERTISING EXPENSE</v>
      </c>
      <c r="C117" s="12"/>
      <c r="D117" s="8">
        <v>493.63</v>
      </c>
      <c r="E117" s="3"/>
      <c r="F117" s="7">
        <f t="shared" si="36"/>
        <v>2.2387028793248304E-3</v>
      </c>
      <c r="G117" s="3"/>
      <c r="H117" s="8">
        <v>2590.83</v>
      </c>
      <c r="I117" s="3"/>
      <c r="J117" s="7">
        <f t="shared" si="37"/>
        <v>1.13798976356942E-2</v>
      </c>
      <c r="K117" s="3"/>
      <c r="L117" s="8">
        <f t="shared" si="38"/>
        <v>-2097.1999999999998</v>
      </c>
      <c r="M117" s="3"/>
      <c r="N117" s="7">
        <f t="shared" si="39"/>
        <v>-0.80947032418182585</v>
      </c>
      <c r="O117" s="12"/>
      <c r="P117" s="8">
        <v>493.63</v>
      </c>
      <c r="Q117" s="3"/>
      <c r="R117" s="7">
        <f t="shared" si="40"/>
        <v>2.2387028793248304E-3</v>
      </c>
      <c r="S117" s="3"/>
      <c r="T117" s="8">
        <v>2590.83</v>
      </c>
      <c r="U117" s="3"/>
      <c r="V117" s="7">
        <f t="shared" si="41"/>
        <v>1.13798976356942E-2</v>
      </c>
      <c r="W117" s="3"/>
      <c r="X117" s="8">
        <f t="shared" si="42"/>
        <v>-2097.1999999999998</v>
      </c>
      <c r="Y117" s="3"/>
      <c r="Z117" s="7">
        <f t="shared" si="43"/>
        <v>-0.80947032418182585</v>
      </c>
    </row>
    <row r="118" spans="1:26" s="29" customFormat="1" outlineLevel="1" collapsed="1" x14ac:dyDescent="0.3">
      <c r="A118" s="28"/>
      <c r="B118" s="14" t="str">
        <f>CONCATENATE("     ","Bad Debts/Over/Short                              ")</f>
        <v xml:space="preserve">     Bad Debts/Over/Short                              </v>
      </c>
      <c r="C118" s="14"/>
      <c r="D118" s="1">
        <f>SUM(OSRRefD22_3x_0)</f>
        <v>1.27</v>
      </c>
      <c r="E118" s="1"/>
      <c r="F118" s="5">
        <f t="shared" si="36"/>
        <v>5.759683683614316E-6</v>
      </c>
      <c r="G118" s="1"/>
      <c r="H118" s="1">
        <f>SUM(OSRRefH22_3x_0)</f>
        <v>4.9800000000000004</v>
      </c>
      <c r="I118" s="1"/>
      <c r="J118" s="5">
        <f t="shared" si="37"/>
        <v>2.1874028873278884E-5</v>
      </c>
      <c r="K118" s="1"/>
      <c r="L118" s="1">
        <f t="shared" si="38"/>
        <v>-3.7100000000000004</v>
      </c>
      <c r="M118" s="1"/>
      <c r="N118" s="5">
        <f t="shared" si="39"/>
        <v>-0.74497991967871491</v>
      </c>
      <c r="O118" s="14"/>
      <c r="P118" s="1">
        <f>SUM(OSRRefP22_3x_0)</f>
        <v>1.27</v>
      </c>
      <c r="Q118" s="1"/>
      <c r="R118" s="5">
        <f t="shared" si="40"/>
        <v>5.759683683614316E-6</v>
      </c>
      <c r="S118" s="1"/>
      <c r="T118" s="1">
        <f>SUM(OSRRefT22_3x_0)</f>
        <v>4.9800000000000004</v>
      </c>
      <c r="U118" s="1"/>
      <c r="V118" s="5">
        <f t="shared" si="41"/>
        <v>2.1874028873278884E-5</v>
      </c>
      <c r="W118" s="1"/>
      <c r="X118" s="1">
        <f t="shared" si="42"/>
        <v>-3.7100000000000004</v>
      </c>
      <c r="Y118" s="1"/>
      <c r="Z118" s="5">
        <f t="shared" si="43"/>
        <v>-0.74497991967871491</v>
      </c>
    </row>
    <row r="119" spans="1:26" s="24" customFormat="1" hidden="1" outlineLevel="2" x14ac:dyDescent="0.3">
      <c r="A119" s="27"/>
      <c r="B119" s="12" t="str">
        <f>CONCATENATE("          ", "6272", " - ", "CASH (OVER/SHORT)")</f>
        <v xml:space="preserve">          6272 - CASH (OVER/SHORT)</v>
      </c>
      <c r="C119" s="12"/>
      <c r="D119" s="8">
        <v>1.27</v>
      </c>
      <c r="E119" s="3"/>
      <c r="F119" s="7">
        <f t="shared" si="36"/>
        <v>5.759683683614316E-6</v>
      </c>
      <c r="G119" s="3"/>
      <c r="H119" s="8">
        <v>4.9800000000000004</v>
      </c>
      <c r="I119" s="3"/>
      <c r="J119" s="7">
        <f t="shared" si="37"/>
        <v>2.1874028873278884E-5</v>
      </c>
      <c r="K119" s="3"/>
      <c r="L119" s="8">
        <f t="shared" si="38"/>
        <v>-3.7100000000000004</v>
      </c>
      <c r="M119" s="3"/>
      <c r="N119" s="7">
        <f t="shared" si="39"/>
        <v>-0.74497991967871491</v>
      </c>
      <c r="O119" s="12"/>
      <c r="P119" s="8">
        <v>1.27</v>
      </c>
      <c r="Q119" s="3"/>
      <c r="R119" s="7">
        <f t="shared" si="40"/>
        <v>5.759683683614316E-6</v>
      </c>
      <c r="S119" s="3"/>
      <c r="T119" s="8">
        <v>4.9800000000000004</v>
      </c>
      <c r="U119" s="3"/>
      <c r="V119" s="7">
        <f t="shared" si="41"/>
        <v>2.1874028873278884E-5</v>
      </c>
      <c r="W119" s="3"/>
      <c r="X119" s="8">
        <f t="shared" si="42"/>
        <v>-3.7100000000000004</v>
      </c>
      <c r="Y119" s="3"/>
      <c r="Z119" s="7">
        <f t="shared" si="43"/>
        <v>-0.74497991967871491</v>
      </c>
    </row>
    <row r="120" spans="1:26" s="29" customFormat="1" outlineLevel="1" collapsed="1" x14ac:dyDescent="0.3">
      <c r="A120" s="28"/>
      <c r="B120" s="14" t="str">
        <f>CONCATENATE("     ","Bank/card Fees                                    ")</f>
        <v xml:space="preserve">     Bank/card Fees                                    </v>
      </c>
      <c r="C120" s="14"/>
      <c r="D120" s="1">
        <f>SUM(OSRRefD22_4x_0)</f>
        <v>3961.88</v>
      </c>
      <c r="E120" s="1"/>
      <c r="F120" s="5">
        <f t="shared" si="36"/>
        <v>1.7967854797195187E-2</v>
      </c>
      <c r="G120" s="1"/>
      <c r="H120" s="1">
        <f>SUM(OSRRefH22_4x_0)</f>
        <v>3117.21</v>
      </c>
      <c r="I120" s="1"/>
      <c r="J120" s="5">
        <f t="shared" si="37"/>
        <v>1.3691956133348124E-2</v>
      </c>
      <c r="K120" s="1"/>
      <c r="L120" s="1">
        <f t="shared" si="38"/>
        <v>844.67000000000007</v>
      </c>
      <c r="M120" s="1"/>
      <c r="N120" s="5">
        <f t="shared" si="39"/>
        <v>0.27096987370116227</v>
      </c>
      <c r="O120" s="14"/>
      <c r="P120" s="1">
        <f>SUM(OSRRefP22_4x_0)</f>
        <v>3961.88</v>
      </c>
      <c r="Q120" s="1"/>
      <c r="R120" s="5">
        <f t="shared" si="40"/>
        <v>1.7967854797195187E-2</v>
      </c>
      <c r="S120" s="1"/>
      <c r="T120" s="1">
        <f>SUM(OSRRefT22_4x_0)</f>
        <v>3117.21</v>
      </c>
      <c r="U120" s="1"/>
      <c r="V120" s="5">
        <f t="shared" si="41"/>
        <v>1.3691956133348124E-2</v>
      </c>
      <c r="W120" s="1"/>
      <c r="X120" s="1">
        <f t="shared" si="42"/>
        <v>844.67000000000007</v>
      </c>
      <c r="Y120" s="1"/>
      <c r="Z120" s="5">
        <f t="shared" si="43"/>
        <v>0.27096987370116227</v>
      </c>
    </row>
    <row r="121" spans="1:26" s="24" customFormat="1" hidden="1" outlineLevel="2" x14ac:dyDescent="0.3">
      <c r="A121" s="27"/>
      <c r="B121" s="12" t="str">
        <f>CONCATENATE("          ", "6381", " - ", "BANK/CREDIT CARD FEES")</f>
        <v xml:space="preserve">          6381 - BANK/CREDIT CARD FEES</v>
      </c>
      <c r="C121" s="12"/>
      <c r="D121" s="8">
        <v>3961.88</v>
      </c>
      <c r="E121" s="3"/>
      <c r="F121" s="7">
        <f t="shared" si="36"/>
        <v>1.7967854797195187E-2</v>
      </c>
      <c r="G121" s="3"/>
      <c r="H121" s="8">
        <v>3117.21</v>
      </c>
      <c r="I121" s="3"/>
      <c r="J121" s="7">
        <f t="shared" si="37"/>
        <v>1.3691956133348124E-2</v>
      </c>
      <c r="K121" s="3"/>
      <c r="L121" s="8">
        <f t="shared" si="38"/>
        <v>844.67000000000007</v>
      </c>
      <c r="M121" s="3"/>
      <c r="N121" s="7">
        <f t="shared" si="39"/>
        <v>0.27096987370116227</v>
      </c>
      <c r="O121" s="12"/>
      <c r="P121" s="8">
        <v>3961.88</v>
      </c>
      <c r="Q121" s="3"/>
      <c r="R121" s="7">
        <f t="shared" si="40"/>
        <v>1.7967854797195187E-2</v>
      </c>
      <c r="S121" s="3"/>
      <c r="T121" s="8">
        <v>3117.21</v>
      </c>
      <c r="U121" s="3"/>
      <c r="V121" s="7">
        <f t="shared" si="41"/>
        <v>1.3691956133348124E-2</v>
      </c>
      <c r="W121" s="3"/>
      <c r="X121" s="8">
        <f t="shared" si="42"/>
        <v>844.67000000000007</v>
      </c>
      <c r="Y121" s="3"/>
      <c r="Z121" s="7">
        <f t="shared" si="43"/>
        <v>0.27096987370116227</v>
      </c>
    </row>
    <row r="122" spans="1:26" s="29" customFormat="1" outlineLevel="1" collapsed="1" x14ac:dyDescent="0.3">
      <c r="A122" s="28"/>
      <c r="B122" s="14" t="str">
        <f>CONCATENATE("     ","Depreciation                                      ")</f>
        <v xml:space="preserve">     Depreciation                                      </v>
      </c>
      <c r="C122" s="14"/>
      <c r="D122" s="1">
        <f>SUM(OSRRefD22_5x_0)</f>
        <v>30720.68</v>
      </c>
      <c r="E122" s="1"/>
      <c r="F122" s="5">
        <f t="shared" si="36"/>
        <v>0.13932393649254854</v>
      </c>
      <c r="G122" s="1"/>
      <c r="H122" s="1">
        <f>SUM(OSRRefH22_5x_0)</f>
        <v>30346.86</v>
      </c>
      <c r="I122" s="1"/>
      <c r="J122" s="5">
        <f t="shared" si="37"/>
        <v>0.13329479756091406</v>
      </c>
      <c r="K122" s="1"/>
      <c r="L122" s="1">
        <f t="shared" si="38"/>
        <v>373.81999999999971</v>
      </c>
      <c r="M122" s="1"/>
      <c r="N122" s="5">
        <f t="shared" si="39"/>
        <v>1.2318243139487898E-2</v>
      </c>
      <c r="O122" s="14"/>
      <c r="P122" s="1">
        <f>SUM(OSRRefP22_5x_0)</f>
        <v>30720.68</v>
      </c>
      <c r="Q122" s="1"/>
      <c r="R122" s="5">
        <f t="shared" si="40"/>
        <v>0.13932393649254854</v>
      </c>
      <c r="S122" s="1"/>
      <c r="T122" s="1">
        <f>SUM(OSRRefT22_5x_0)</f>
        <v>30346.86</v>
      </c>
      <c r="U122" s="1"/>
      <c r="V122" s="5">
        <f t="shared" si="41"/>
        <v>0.13329479756091406</v>
      </c>
      <c r="W122" s="1"/>
      <c r="X122" s="1">
        <f t="shared" si="42"/>
        <v>373.81999999999971</v>
      </c>
      <c r="Y122" s="1"/>
      <c r="Z122" s="5">
        <f t="shared" si="43"/>
        <v>1.2318243139487898E-2</v>
      </c>
    </row>
    <row r="123" spans="1:26" s="24" customFormat="1" hidden="1" outlineLevel="2" x14ac:dyDescent="0.3">
      <c r="A123" s="27"/>
      <c r="B123" s="12" t="str">
        <f>CONCATENATE("          ", "6321", " - ", "BUILDING DEPRECIATION")</f>
        <v xml:space="preserve">          6321 - BUILDING DEPRECIATION</v>
      </c>
      <c r="C123" s="12"/>
      <c r="D123" s="8">
        <v>16396.52</v>
      </c>
      <c r="E123" s="3"/>
      <c r="F123" s="7">
        <f t="shared" si="36"/>
        <v>7.4361235206343149E-2</v>
      </c>
      <c r="G123" s="3"/>
      <c r="H123" s="8">
        <v>16396.52</v>
      </c>
      <c r="I123" s="3"/>
      <c r="J123" s="7">
        <f t="shared" si="37"/>
        <v>7.2019669056484867E-2</v>
      </c>
      <c r="K123" s="3"/>
      <c r="L123" s="8">
        <f t="shared" si="38"/>
        <v>0</v>
      </c>
      <c r="M123" s="3"/>
      <c r="N123" s="7">
        <f t="shared" si="39"/>
        <v>0</v>
      </c>
      <c r="O123" s="12"/>
      <c r="P123" s="8">
        <v>16396.52</v>
      </c>
      <c r="Q123" s="3"/>
      <c r="R123" s="7">
        <f t="shared" si="40"/>
        <v>7.4361235206343149E-2</v>
      </c>
      <c r="S123" s="3"/>
      <c r="T123" s="8">
        <v>16396.52</v>
      </c>
      <c r="U123" s="3"/>
      <c r="V123" s="7">
        <f t="shared" si="41"/>
        <v>7.2019669056484867E-2</v>
      </c>
      <c r="W123" s="3"/>
      <c r="X123" s="8">
        <f t="shared" si="42"/>
        <v>0</v>
      </c>
      <c r="Y123" s="3"/>
      <c r="Z123" s="7">
        <f t="shared" si="43"/>
        <v>0</v>
      </c>
    </row>
    <row r="124" spans="1:26" s="24" customFormat="1" hidden="1" outlineLevel="2" x14ac:dyDescent="0.3">
      <c r="A124" s="27"/>
      <c r="B124" s="12" t="str">
        <f>CONCATENATE("          ", "6322", " - ", "EQUIPMENT DEPRECIATION EXPENSE")</f>
        <v xml:space="preserve">          6322 - EQUIPMENT DEPRECIATION EXPENSE</v>
      </c>
      <c r="C124" s="12"/>
      <c r="D124" s="8">
        <v>14324.16</v>
      </c>
      <c r="E124" s="3"/>
      <c r="F124" s="7">
        <f t="shared" si="36"/>
        <v>6.496270128620539E-2</v>
      </c>
      <c r="G124" s="3"/>
      <c r="H124" s="8">
        <v>13950.34</v>
      </c>
      <c r="I124" s="3"/>
      <c r="J124" s="7">
        <f t="shared" si="37"/>
        <v>6.1275128504429177E-2</v>
      </c>
      <c r="K124" s="3"/>
      <c r="L124" s="8">
        <f t="shared" si="38"/>
        <v>373.81999999999971</v>
      </c>
      <c r="M124" s="3"/>
      <c r="N124" s="7">
        <f t="shared" si="39"/>
        <v>2.6796479512327276E-2</v>
      </c>
      <c r="O124" s="12"/>
      <c r="P124" s="8">
        <v>14324.16</v>
      </c>
      <c r="Q124" s="3"/>
      <c r="R124" s="7">
        <f t="shared" si="40"/>
        <v>6.496270128620539E-2</v>
      </c>
      <c r="S124" s="3"/>
      <c r="T124" s="8">
        <v>13950.34</v>
      </c>
      <c r="U124" s="3"/>
      <c r="V124" s="7">
        <f t="shared" si="41"/>
        <v>6.1275128504429177E-2</v>
      </c>
      <c r="W124" s="3"/>
      <c r="X124" s="8">
        <f t="shared" si="42"/>
        <v>373.81999999999971</v>
      </c>
      <c r="Y124" s="3"/>
      <c r="Z124" s="7">
        <f t="shared" si="43"/>
        <v>2.6796479512327276E-2</v>
      </c>
    </row>
    <row r="125" spans="1:26" s="29" customFormat="1" outlineLevel="1" collapsed="1" x14ac:dyDescent="0.3">
      <c r="A125" s="28"/>
      <c r="B125" s="14" t="str">
        <f>CONCATENATE("     ","Discounts and Markdowns                           ")</f>
        <v xml:space="preserve">     Discounts and Markdowns                           </v>
      </c>
      <c r="C125" s="14"/>
      <c r="D125" s="1">
        <f>SUM(OSRRefD22_6x_0)</f>
        <v>-0.68</v>
      </c>
      <c r="E125" s="1"/>
      <c r="F125" s="5">
        <f t="shared" ref="F125:F127" si="44">IF(D$12=0,0,D125/D$12)</f>
        <v>-3.0839251219352245E-6</v>
      </c>
      <c r="G125" s="1"/>
      <c r="H125" s="1">
        <f>SUM(OSRRefH22_6x_0)</f>
        <v>0</v>
      </c>
      <c r="I125" s="1"/>
      <c r="J125" s="5">
        <f t="shared" ref="J125:J127" si="45">IF(H$12=0,0,H125/H$12)</f>
        <v>0</v>
      </c>
      <c r="K125" s="1"/>
      <c r="L125" s="1">
        <f t="shared" ref="L125:L127" si="46">+D125-H125</f>
        <v>-0.68</v>
      </c>
      <c r="M125" s="1"/>
      <c r="N125" s="5">
        <f t="shared" ref="N125:N127" si="47">IF(H125=0,0,L125/H125)</f>
        <v>0</v>
      </c>
      <c r="O125" s="14"/>
      <c r="P125" s="1">
        <f>SUM(OSRRefP22_6x_0)</f>
        <v>-0.68</v>
      </c>
      <c r="Q125" s="1"/>
      <c r="R125" s="5">
        <f t="shared" ref="R125:R127" si="48">IF(P$12=0,0,P125/P$12)</f>
        <v>-3.0839251219352245E-6</v>
      </c>
      <c r="S125" s="1"/>
      <c r="T125" s="1">
        <f>SUM(OSRRefT22_6x_0)</f>
        <v>0</v>
      </c>
      <c r="U125" s="1"/>
      <c r="V125" s="5">
        <f t="shared" ref="V125:V127" si="49">IF(T$12=0,0,T125/T$12)</f>
        <v>0</v>
      </c>
      <c r="W125" s="1"/>
      <c r="X125" s="1">
        <f t="shared" ref="X125:X127" si="50">+P125-T125</f>
        <v>-0.68</v>
      </c>
      <c r="Y125" s="1"/>
      <c r="Z125" s="5">
        <f t="shared" ref="Z125:Z127" si="51">IF(T125=0,0,X125/T125)</f>
        <v>0</v>
      </c>
    </row>
    <row r="126" spans="1:26" s="24" customFormat="1" hidden="1" outlineLevel="2" x14ac:dyDescent="0.3">
      <c r="A126" s="27"/>
      <c r="B126" s="12" t="str">
        <f>CONCATENATE("          ", "6382", " - ", "DISCOUNTS/MARK DOWNS")</f>
        <v xml:space="preserve">          6382 - DISCOUNTS/MARK DOWNS</v>
      </c>
      <c r="C126" s="12"/>
      <c r="D126" s="8"/>
      <c r="E126" s="3"/>
      <c r="F126" s="7">
        <f t="shared" si="44"/>
        <v>0</v>
      </c>
      <c r="G126" s="3"/>
      <c r="H126" s="8">
        <v>0</v>
      </c>
      <c r="I126" s="3"/>
      <c r="J126" s="7">
        <f t="shared" si="45"/>
        <v>0</v>
      </c>
      <c r="K126" s="3"/>
      <c r="L126" s="8">
        <f t="shared" si="46"/>
        <v>0</v>
      </c>
      <c r="M126" s="3"/>
      <c r="N126" s="7">
        <f t="shared" si="47"/>
        <v>0</v>
      </c>
      <c r="O126" s="12"/>
      <c r="P126" s="8"/>
      <c r="Q126" s="3"/>
      <c r="R126" s="7">
        <f t="shared" si="48"/>
        <v>0</v>
      </c>
      <c r="S126" s="3"/>
      <c r="T126" s="8">
        <v>0</v>
      </c>
      <c r="U126" s="3"/>
      <c r="V126" s="7">
        <f t="shared" si="49"/>
        <v>0</v>
      </c>
      <c r="W126" s="3"/>
      <c r="X126" s="8">
        <f t="shared" si="50"/>
        <v>0</v>
      </c>
      <c r="Y126" s="3"/>
      <c r="Z126" s="7">
        <f t="shared" si="51"/>
        <v>0</v>
      </c>
    </row>
    <row r="127" spans="1:26" s="24" customFormat="1" hidden="1" outlineLevel="2" x14ac:dyDescent="0.3">
      <c r="A127" s="27"/>
      <c r="B127" s="12" t="str">
        <f>CONCATENATE("          ", "9175", " - ", "EARNED DISCOUNTS")</f>
        <v xml:space="preserve">          9175 - EARNED DISCOUNTS</v>
      </c>
      <c r="C127" s="12"/>
      <c r="D127" s="8">
        <v>-0.68</v>
      </c>
      <c r="E127" s="3"/>
      <c r="F127" s="7">
        <f t="shared" si="44"/>
        <v>-3.0839251219352245E-6</v>
      </c>
      <c r="G127" s="3"/>
      <c r="H127" s="8"/>
      <c r="I127" s="3"/>
      <c r="J127" s="7">
        <f t="shared" si="45"/>
        <v>0</v>
      </c>
      <c r="K127" s="3"/>
      <c r="L127" s="8">
        <f t="shared" si="46"/>
        <v>-0.68</v>
      </c>
      <c r="M127" s="3"/>
      <c r="N127" s="7">
        <f t="shared" si="47"/>
        <v>0</v>
      </c>
      <c r="O127" s="12"/>
      <c r="P127" s="8">
        <v>-0.68</v>
      </c>
      <c r="Q127" s="3"/>
      <c r="R127" s="7">
        <f t="shared" si="48"/>
        <v>-3.0839251219352245E-6</v>
      </c>
      <c r="S127" s="3"/>
      <c r="T127" s="8"/>
      <c r="U127" s="3"/>
      <c r="V127" s="7">
        <f t="shared" si="49"/>
        <v>0</v>
      </c>
      <c r="W127" s="3"/>
      <c r="X127" s="8">
        <f t="shared" si="50"/>
        <v>-0.68</v>
      </c>
      <c r="Y127" s="3"/>
      <c r="Z127" s="7">
        <f t="shared" si="51"/>
        <v>0</v>
      </c>
    </row>
    <row r="128" spans="1:26" s="29" customFormat="1" outlineLevel="1" collapsed="1" x14ac:dyDescent="0.3">
      <c r="A128" s="28"/>
      <c r="B128" s="14" t="str">
        <f>CONCATENATE("     ","Employees' Appreciation                           ")</f>
        <v xml:space="preserve">     Employees' Appreciation                           </v>
      </c>
      <c r="C128" s="14"/>
      <c r="D128" s="1">
        <f>SUM(OSRRefD22_7x_0)</f>
        <v>537.36</v>
      </c>
      <c r="E128" s="1"/>
      <c r="F128" s="5">
        <f t="shared" ref="F128:F134" si="52">IF(D$12=0,0,D128/D$12)</f>
        <v>2.4370264757692826E-3</v>
      </c>
      <c r="G128" s="1"/>
      <c r="H128" s="1">
        <f>SUM(OSRRefH22_7x_0)</f>
        <v>107.7</v>
      </c>
      <c r="I128" s="1"/>
      <c r="J128" s="5">
        <f t="shared" ref="J128:J134" si="53">IF(H$12=0,0,H128/H$12)</f>
        <v>4.7305881719922398E-4</v>
      </c>
      <c r="K128" s="1"/>
      <c r="L128" s="1">
        <f t="shared" ref="L128:L134" si="54">+D128-H128</f>
        <v>429.66</v>
      </c>
      <c r="M128" s="1"/>
      <c r="N128" s="5">
        <f t="shared" ref="N128:N134" si="55">IF(H128=0,0,L128/H128)</f>
        <v>3.9894150417827299</v>
      </c>
      <c r="O128" s="14"/>
      <c r="P128" s="1">
        <f>SUM(OSRRefP22_7x_0)</f>
        <v>537.36</v>
      </c>
      <c r="Q128" s="1"/>
      <c r="R128" s="5">
        <f t="shared" ref="R128:R134" si="56">IF(P$12=0,0,P128/P$12)</f>
        <v>2.4370264757692826E-3</v>
      </c>
      <c r="S128" s="1"/>
      <c r="T128" s="1">
        <f>SUM(OSRRefT22_7x_0)</f>
        <v>107.7</v>
      </c>
      <c r="U128" s="1"/>
      <c r="V128" s="5">
        <f t="shared" ref="V128:V134" si="57">IF(T$12=0,0,T128/T$12)</f>
        <v>4.7305881719922398E-4</v>
      </c>
      <c r="W128" s="1"/>
      <c r="X128" s="1">
        <f t="shared" ref="X128:X134" si="58">+P128-T128</f>
        <v>429.66</v>
      </c>
      <c r="Y128" s="1"/>
      <c r="Z128" s="5">
        <f t="shared" ref="Z128:Z134" si="59">IF(T128=0,0,X128/T128)</f>
        <v>3.9894150417827299</v>
      </c>
    </row>
    <row r="129" spans="1:26" s="24" customFormat="1" hidden="1" outlineLevel="2" x14ac:dyDescent="0.3">
      <c r="A129" s="27"/>
      <c r="B129" s="12" t="str">
        <f>CONCATENATE("          ", "6277", " - ", "EMPLOYEE APPRECIATION")</f>
        <v xml:space="preserve">          6277 - EMPLOYEE APPRECIATION</v>
      </c>
      <c r="C129" s="12"/>
      <c r="D129" s="8">
        <v>537.36</v>
      </c>
      <c r="E129" s="3"/>
      <c r="F129" s="7">
        <f t="shared" si="52"/>
        <v>2.4370264757692826E-3</v>
      </c>
      <c r="G129" s="3"/>
      <c r="H129" s="8">
        <v>107.7</v>
      </c>
      <c r="I129" s="3"/>
      <c r="J129" s="7">
        <f t="shared" si="53"/>
        <v>4.7305881719922398E-4</v>
      </c>
      <c r="K129" s="3"/>
      <c r="L129" s="8">
        <f t="shared" si="54"/>
        <v>429.66</v>
      </c>
      <c r="M129" s="3"/>
      <c r="N129" s="7">
        <f t="shared" si="55"/>
        <v>3.9894150417827299</v>
      </c>
      <c r="O129" s="12"/>
      <c r="P129" s="8">
        <v>537.36</v>
      </c>
      <c r="Q129" s="3"/>
      <c r="R129" s="7">
        <f t="shared" si="56"/>
        <v>2.4370264757692826E-3</v>
      </c>
      <c r="S129" s="3"/>
      <c r="T129" s="8">
        <v>107.7</v>
      </c>
      <c r="U129" s="3"/>
      <c r="V129" s="7">
        <f t="shared" si="57"/>
        <v>4.7305881719922398E-4</v>
      </c>
      <c r="W129" s="3"/>
      <c r="X129" s="8">
        <f t="shared" si="58"/>
        <v>429.66</v>
      </c>
      <c r="Y129" s="3"/>
      <c r="Z129" s="7">
        <f t="shared" si="59"/>
        <v>3.9894150417827299</v>
      </c>
    </row>
    <row r="130" spans="1:26" s="29" customFormat="1" outlineLevel="1" collapsed="1" x14ac:dyDescent="0.3">
      <c r="A130" s="28"/>
      <c r="B130" s="14" t="str">
        <f>CONCATENATE("     ","Equipment Rental                                  ")</f>
        <v xml:space="preserve">     Equipment Rental                                  </v>
      </c>
      <c r="C130" s="14"/>
      <c r="D130" s="1">
        <f>SUM(OSRRefD22_8x_0)</f>
        <v>1388.16</v>
      </c>
      <c r="E130" s="1"/>
      <c r="F130" s="5">
        <f t="shared" si="52"/>
        <v>6.2955610253905897E-3</v>
      </c>
      <c r="G130" s="1"/>
      <c r="H130" s="1">
        <f>SUM(OSRRefH22_8x_0)</f>
        <v>1388.16</v>
      </c>
      <c r="I130" s="1"/>
      <c r="J130" s="5">
        <f t="shared" si="53"/>
        <v>6.0973196627973521E-3</v>
      </c>
      <c r="K130" s="1"/>
      <c r="L130" s="1">
        <f t="shared" si="54"/>
        <v>0</v>
      </c>
      <c r="M130" s="1"/>
      <c r="N130" s="5">
        <f t="shared" si="55"/>
        <v>0</v>
      </c>
      <c r="O130" s="14"/>
      <c r="P130" s="1">
        <f>SUM(OSRRefP22_8x_0)</f>
        <v>1388.16</v>
      </c>
      <c r="Q130" s="1"/>
      <c r="R130" s="5">
        <f t="shared" si="56"/>
        <v>6.2955610253905897E-3</v>
      </c>
      <c r="S130" s="1"/>
      <c r="T130" s="1">
        <f>SUM(OSRRefT22_8x_0)</f>
        <v>1388.16</v>
      </c>
      <c r="U130" s="1"/>
      <c r="V130" s="5">
        <f t="shared" si="57"/>
        <v>6.0973196627973521E-3</v>
      </c>
      <c r="W130" s="1"/>
      <c r="X130" s="1">
        <f t="shared" si="58"/>
        <v>0</v>
      </c>
      <c r="Y130" s="1"/>
      <c r="Z130" s="5">
        <f t="shared" si="59"/>
        <v>0</v>
      </c>
    </row>
    <row r="131" spans="1:26" s="24" customFormat="1" hidden="1" outlineLevel="2" x14ac:dyDescent="0.3">
      <c r="A131" s="27"/>
      <c r="B131" s="12" t="str">
        <f>CONCATENATE("          ", "6351", " - ", "EQUIPMENT RENTAL")</f>
        <v xml:space="preserve">          6351 - EQUIPMENT RENTAL</v>
      </c>
      <c r="C131" s="12"/>
      <c r="D131" s="8">
        <v>1388.16</v>
      </c>
      <c r="E131" s="3"/>
      <c r="F131" s="7">
        <f t="shared" si="52"/>
        <v>6.2955610253905897E-3</v>
      </c>
      <c r="G131" s="3"/>
      <c r="H131" s="8">
        <v>1388.16</v>
      </c>
      <c r="I131" s="3"/>
      <c r="J131" s="7">
        <f t="shared" si="53"/>
        <v>6.0973196627973521E-3</v>
      </c>
      <c r="K131" s="3"/>
      <c r="L131" s="8">
        <f t="shared" si="54"/>
        <v>0</v>
      </c>
      <c r="M131" s="3"/>
      <c r="N131" s="7">
        <f t="shared" si="55"/>
        <v>0</v>
      </c>
      <c r="O131" s="12"/>
      <c r="P131" s="8">
        <v>1388.16</v>
      </c>
      <c r="Q131" s="3"/>
      <c r="R131" s="7">
        <f t="shared" si="56"/>
        <v>6.2955610253905897E-3</v>
      </c>
      <c r="S131" s="3"/>
      <c r="T131" s="8">
        <v>1388.16</v>
      </c>
      <c r="U131" s="3"/>
      <c r="V131" s="7">
        <f t="shared" si="57"/>
        <v>6.0973196627973521E-3</v>
      </c>
      <c r="W131" s="3"/>
      <c r="X131" s="8">
        <f t="shared" si="58"/>
        <v>0</v>
      </c>
      <c r="Y131" s="3"/>
      <c r="Z131" s="7">
        <f t="shared" si="59"/>
        <v>0</v>
      </c>
    </row>
    <row r="132" spans="1:26" s="29" customFormat="1" outlineLevel="1" collapsed="1" x14ac:dyDescent="0.3">
      <c r="A132" s="28"/>
      <c r="B132" s="14" t="str">
        <f>CONCATENATE("     ","Freight out/Postage                               ")</f>
        <v xml:space="preserve">     Freight out/Postage                               </v>
      </c>
      <c r="C132" s="14"/>
      <c r="D132" s="1">
        <f>SUM(OSRRefD22_9x_0)</f>
        <v>3589.6099999999997</v>
      </c>
      <c r="E132" s="1"/>
      <c r="F132" s="5">
        <f t="shared" si="52"/>
        <v>1.6279541848455734E-2</v>
      </c>
      <c r="G132" s="1"/>
      <c r="H132" s="1">
        <f>SUM(OSRRefH22_9x_0)</f>
        <v>8928.65</v>
      </c>
      <c r="I132" s="1"/>
      <c r="J132" s="5">
        <f t="shared" si="53"/>
        <v>3.9217981505903908E-2</v>
      </c>
      <c r="K132" s="1"/>
      <c r="L132" s="1">
        <f t="shared" si="54"/>
        <v>-5339.04</v>
      </c>
      <c r="M132" s="1"/>
      <c r="N132" s="5">
        <f t="shared" si="55"/>
        <v>-0.59796721788848262</v>
      </c>
      <c r="O132" s="14"/>
      <c r="P132" s="1">
        <f>SUM(OSRRefP22_9x_0)</f>
        <v>3589.6099999999997</v>
      </c>
      <c r="Q132" s="1"/>
      <c r="R132" s="5">
        <f t="shared" si="56"/>
        <v>1.6279541848455734E-2</v>
      </c>
      <c r="S132" s="1"/>
      <c r="T132" s="1">
        <f>SUM(OSRRefT22_9x_0)</f>
        <v>8928.65</v>
      </c>
      <c r="U132" s="1"/>
      <c r="V132" s="5">
        <f t="shared" si="57"/>
        <v>3.9217981505903908E-2</v>
      </c>
      <c r="W132" s="1"/>
      <c r="X132" s="1">
        <f t="shared" si="58"/>
        <v>-5339.04</v>
      </c>
      <c r="Y132" s="1"/>
      <c r="Z132" s="5">
        <f t="shared" si="59"/>
        <v>-0.59796721788848262</v>
      </c>
    </row>
    <row r="133" spans="1:26" s="24" customFormat="1" hidden="1" outlineLevel="2" x14ac:dyDescent="0.3">
      <c r="A133" s="27"/>
      <c r="B133" s="12" t="str">
        <f>CONCATENATE("          ", "6305", " - ", "FREIGHT OUT")</f>
        <v xml:space="preserve">          6305 - FREIGHT OUT</v>
      </c>
      <c r="C133" s="12"/>
      <c r="D133" s="8">
        <v>10889.5</v>
      </c>
      <c r="E133" s="3"/>
      <c r="F133" s="7">
        <f t="shared" si="52"/>
        <v>4.9385886198990626E-2</v>
      </c>
      <c r="G133" s="3"/>
      <c r="H133" s="8">
        <v>12089.09</v>
      </c>
      <c r="I133" s="3"/>
      <c r="J133" s="7">
        <f t="shared" si="53"/>
        <v>5.309982002242309E-2</v>
      </c>
      <c r="K133" s="3"/>
      <c r="L133" s="8">
        <f t="shared" si="54"/>
        <v>-1199.5900000000001</v>
      </c>
      <c r="M133" s="3"/>
      <c r="N133" s="7">
        <f t="shared" si="55"/>
        <v>-9.922913966229055E-2</v>
      </c>
      <c r="O133" s="12"/>
      <c r="P133" s="8">
        <v>10889.5</v>
      </c>
      <c r="Q133" s="3"/>
      <c r="R133" s="7">
        <f t="shared" si="56"/>
        <v>4.9385886198990626E-2</v>
      </c>
      <c r="S133" s="3"/>
      <c r="T133" s="8">
        <v>12089.09</v>
      </c>
      <c r="U133" s="3"/>
      <c r="V133" s="7">
        <f t="shared" si="57"/>
        <v>5.309982002242309E-2</v>
      </c>
      <c r="W133" s="3"/>
      <c r="X133" s="8">
        <f t="shared" si="58"/>
        <v>-1199.5900000000001</v>
      </c>
      <c r="Y133" s="3"/>
      <c r="Z133" s="7">
        <f t="shared" si="59"/>
        <v>-9.922913966229055E-2</v>
      </c>
    </row>
    <row r="134" spans="1:26" s="24" customFormat="1" hidden="1" outlineLevel="2" x14ac:dyDescent="0.3">
      <c r="A134" s="27"/>
      <c r="B134" s="12" t="str">
        <f>CONCATENATE("          ", "6307", " - ", "POSTAGE")</f>
        <v xml:space="preserve">          6307 - POSTAGE</v>
      </c>
      <c r="C134" s="12"/>
      <c r="D134" s="8">
        <v>-7299.89</v>
      </c>
      <c r="E134" s="3"/>
      <c r="F134" s="7">
        <f t="shared" si="52"/>
        <v>-3.3106344350534889E-2</v>
      </c>
      <c r="G134" s="3"/>
      <c r="H134" s="8">
        <v>-3160.44</v>
      </c>
      <c r="I134" s="3"/>
      <c r="J134" s="7">
        <f t="shared" si="53"/>
        <v>-1.3881838516519179E-2</v>
      </c>
      <c r="K134" s="3"/>
      <c r="L134" s="8">
        <f t="shared" si="54"/>
        <v>-4139.4500000000007</v>
      </c>
      <c r="M134" s="3"/>
      <c r="N134" s="7">
        <f t="shared" si="55"/>
        <v>1.3097701585855137</v>
      </c>
      <c r="O134" s="12"/>
      <c r="P134" s="8">
        <v>-7299.89</v>
      </c>
      <c r="Q134" s="3"/>
      <c r="R134" s="7">
        <f t="shared" si="56"/>
        <v>-3.3106344350534889E-2</v>
      </c>
      <c r="S134" s="3"/>
      <c r="T134" s="8">
        <v>-3160.44</v>
      </c>
      <c r="U134" s="3"/>
      <c r="V134" s="7">
        <f t="shared" si="57"/>
        <v>-1.3881838516519179E-2</v>
      </c>
      <c r="W134" s="3"/>
      <c r="X134" s="8">
        <f t="shared" si="58"/>
        <v>-4139.4500000000007</v>
      </c>
      <c r="Y134" s="3"/>
      <c r="Z134" s="7">
        <f t="shared" si="59"/>
        <v>1.3097701585855137</v>
      </c>
    </row>
    <row r="135" spans="1:26" s="29" customFormat="1" outlineLevel="1" collapsed="1" x14ac:dyDescent="0.3">
      <c r="A135" s="28"/>
      <c r="B135" s="14" t="str">
        <f>CONCATENATE("     ","General                                           ")</f>
        <v xml:space="preserve">     General                                           </v>
      </c>
      <c r="C135" s="14"/>
      <c r="D135" s="1">
        <f>SUM(OSRRefD22_10x_0)</f>
        <v>778</v>
      </c>
      <c r="E135" s="1"/>
      <c r="F135" s="5">
        <f t="shared" ref="F135:F141" si="60">IF(D$12=0,0,D135/D$12)</f>
        <v>3.5283731542141241E-3</v>
      </c>
      <c r="G135" s="1"/>
      <c r="H135" s="1">
        <f>SUM(OSRRefH22_10x_0)</f>
        <v>-3320.09</v>
      </c>
      <c r="I135" s="1"/>
      <c r="J135" s="5">
        <f t="shared" ref="J135:J141" si="61">IF(H$12=0,0,H135/H$12)</f>
        <v>-1.4583081229294073E-2</v>
      </c>
      <c r="K135" s="1"/>
      <c r="L135" s="1">
        <f t="shared" ref="L135:L141" si="62">+D135-H135</f>
        <v>4098.09</v>
      </c>
      <c r="M135" s="1"/>
      <c r="N135" s="5">
        <f t="shared" ref="N135:N141" si="63">IF(H135=0,0,L135/H135)</f>
        <v>-1.2343309970512848</v>
      </c>
      <c r="O135" s="14"/>
      <c r="P135" s="1">
        <f>SUM(OSRRefP22_10x_0)</f>
        <v>778</v>
      </c>
      <c r="Q135" s="1"/>
      <c r="R135" s="5">
        <f t="shared" ref="R135:R141" si="64">IF(P$12=0,0,P135/P$12)</f>
        <v>3.5283731542141241E-3</v>
      </c>
      <c r="S135" s="1"/>
      <c r="T135" s="1">
        <f>SUM(OSRRefT22_10x_0)</f>
        <v>-3320.09</v>
      </c>
      <c r="U135" s="1"/>
      <c r="V135" s="5">
        <f t="shared" ref="V135:V141" si="65">IF(T$12=0,0,T135/T$12)</f>
        <v>-1.4583081229294073E-2</v>
      </c>
      <c r="W135" s="1"/>
      <c r="X135" s="1">
        <f t="shared" ref="X135:X141" si="66">+P135-T135</f>
        <v>4098.09</v>
      </c>
      <c r="Y135" s="1"/>
      <c r="Z135" s="5">
        <f t="shared" ref="Z135:Z141" si="67">IF(T135=0,0,X135/T135)</f>
        <v>-1.2343309970512848</v>
      </c>
    </row>
    <row r="136" spans="1:26" s="24" customFormat="1" hidden="1" outlineLevel="2" x14ac:dyDescent="0.3">
      <c r="A136" s="27"/>
      <c r="B136" s="12" t="str">
        <f>CONCATENATE("          ", "6279", " - ", "GENERAL EXPENSE")</f>
        <v xml:space="preserve">          6279 - GENERAL EXPENSE</v>
      </c>
      <c r="C136" s="12"/>
      <c r="D136" s="8">
        <v>778</v>
      </c>
      <c r="E136" s="3"/>
      <c r="F136" s="7">
        <f t="shared" si="60"/>
        <v>3.5283731542141241E-3</v>
      </c>
      <c r="G136" s="3"/>
      <c r="H136" s="8">
        <v>-3320.09</v>
      </c>
      <c r="I136" s="3"/>
      <c r="J136" s="7">
        <f t="shared" si="61"/>
        <v>-1.4583081229294073E-2</v>
      </c>
      <c r="K136" s="3"/>
      <c r="L136" s="8">
        <f t="shared" si="62"/>
        <v>4098.09</v>
      </c>
      <c r="M136" s="3"/>
      <c r="N136" s="7">
        <f t="shared" si="63"/>
        <v>-1.2343309970512848</v>
      </c>
      <c r="O136" s="12"/>
      <c r="P136" s="8">
        <v>778</v>
      </c>
      <c r="Q136" s="3"/>
      <c r="R136" s="7">
        <f t="shared" si="64"/>
        <v>3.5283731542141241E-3</v>
      </c>
      <c r="S136" s="3"/>
      <c r="T136" s="8">
        <v>-3320.09</v>
      </c>
      <c r="U136" s="3"/>
      <c r="V136" s="7">
        <f t="shared" si="65"/>
        <v>-1.4583081229294073E-2</v>
      </c>
      <c r="W136" s="3"/>
      <c r="X136" s="8">
        <f t="shared" si="66"/>
        <v>4098.09</v>
      </c>
      <c r="Y136" s="3"/>
      <c r="Z136" s="7">
        <f t="shared" si="67"/>
        <v>-1.2343309970512848</v>
      </c>
    </row>
    <row r="137" spans="1:26" s="29" customFormat="1" outlineLevel="1" collapsed="1" x14ac:dyDescent="0.3">
      <c r="A137" s="28"/>
      <c r="B137" s="14" t="str">
        <f>CONCATENATE("     ","Insurance                                         ")</f>
        <v xml:space="preserve">     Insurance                                         </v>
      </c>
      <c r="C137" s="14"/>
      <c r="D137" s="1">
        <f>SUM(OSRRefD22_11x_0)</f>
        <v>5494.57</v>
      </c>
      <c r="E137" s="1"/>
      <c r="F137" s="5">
        <f t="shared" si="60"/>
        <v>2.4918885966517094E-2</v>
      </c>
      <c r="G137" s="1"/>
      <c r="H137" s="1">
        <f>SUM(OSRRefH22_11x_0)</f>
        <v>4044.74</v>
      </c>
      <c r="I137" s="1"/>
      <c r="J137" s="5">
        <f t="shared" si="61"/>
        <v>1.7766015972872695E-2</v>
      </c>
      <c r="K137" s="1"/>
      <c r="L137" s="1">
        <f t="shared" si="62"/>
        <v>1449.83</v>
      </c>
      <c r="M137" s="1"/>
      <c r="N137" s="5">
        <f t="shared" si="63"/>
        <v>0.35844825625380122</v>
      </c>
      <c r="O137" s="14"/>
      <c r="P137" s="1">
        <f>SUM(OSRRefP22_11x_0)</f>
        <v>5494.57</v>
      </c>
      <c r="Q137" s="1"/>
      <c r="R137" s="5">
        <f t="shared" si="64"/>
        <v>2.4918885966517094E-2</v>
      </c>
      <c r="S137" s="1"/>
      <c r="T137" s="1">
        <f>SUM(OSRRefT22_11x_0)</f>
        <v>4044.74</v>
      </c>
      <c r="U137" s="1"/>
      <c r="V137" s="5">
        <f t="shared" si="65"/>
        <v>1.7766015972872695E-2</v>
      </c>
      <c r="W137" s="1"/>
      <c r="X137" s="1">
        <f t="shared" si="66"/>
        <v>1449.83</v>
      </c>
      <c r="Y137" s="1"/>
      <c r="Z137" s="5">
        <f t="shared" si="67"/>
        <v>0.35844825625380122</v>
      </c>
    </row>
    <row r="138" spans="1:26" s="24" customFormat="1" hidden="1" outlineLevel="2" x14ac:dyDescent="0.3">
      <c r="A138" s="27"/>
      <c r="B138" s="12" t="str">
        <f>CONCATENATE("          ", "6314", " - ", "LIABILITY INSURANCE")</f>
        <v xml:space="preserve">          6314 - LIABILITY INSURANCE</v>
      </c>
      <c r="C138" s="12"/>
      <c r="D138" s="8">
        <v>5494.57</v>
      </c>
      <c r="E138" s="3"/>
      <c r="F138" s="7">
        <f t="shared" si="60"/>
        <v>2.4918885966517094E-2</v>
      </c>
      <c r="G138" s="3"/>
      <c r="H138" s="8">
        <v>4044.74</v>
      </c>
      <c r="I138" s="3"/>
      <c r="J138" s="7">
        <f t="shared" si="61"/>
        <v>1.7766015972872695E-2</v>
      </c>
      <c r="K138" s="3"/>
      <c r="L138" s="8">
        <f t="shared" si="62"/>
        <v>1449.83</v>
      </c>
      <c r="M138" s="3"/>
      <c r="N138" s="7">
        <f t="shared" si="63"/>
        <v>0.35844825625380122</v>
      </c>
      <c r="O138" s="12"/>
      <c r="P138" s="8">
        <v>5494.57</v>
      </c>
      <c r="Q138" s="3"/>
      <c r="R138" s="7">
        <f t="shared" si="64"/>
        <v>2.4918885966517094E-2</v>
      </c>
      <c r="S138" s="3"/>
      <c r="T138" s="8">
        <v>4044.74</v>
      </c>
      <c r="U138" s="3"/>
      <c r="V138" s="7">
        <f t="shared" si="65"/>
        <v>1.7766015972872695E-2</v>
      </c>
      <c r="W138" s="3"/>
      <c r="X138" s="8">
        <f t="shared" si="66"/>
        <v>1449.83</v>
      </c>
      <c r="Y138" s="3"/>
      <c r="Z138" s="7">
        <f t="shared" si="67"/>
        <v>0.35844825625380122</v>
      </c>
    </row>
    <row r="139" spans="1:26" s="29" customFormat="1" outlineLevel="1" collapsed="1" x14ac:dyDescent="0.3">
      <c r="A139" s="28"/>
      <c r="B139" s="14" t="str">
        <f>CONCATENATE("     ","Inventory Adjustment                              ")</f>
        <v xml:space="preserve">     Inventory Adjustment                              </v>
      </c>
      <c r="C139" s="14"/>
      <c r="D139" s="1">
        <f>SUM(OSRRefD22_12x_0)</f>
        <v>5100</v>
      </c>
      <c r="E139" s="1"/>
      <c r="F139" s="5">
        <f t="shared" si="60"/>
        <v>2.3129438414514182E-2</v>
      </c>
      <c r="G139" s="1"/>
      <c r="H139" s="1">
        <f>SUM(OSRRefH22_12x_0)</f>
        <v>2100</v>
      </c>
      <c r="I139" s="1"/>
      <c r="J139" s="5">
        <f t="shared" si="61"/>
        <v>9.2239880790935033E-3</v>
      </c>
      <c r="K139" s="1"/>
      <c r="L139" s="1">
        <f t="shared" si="62"/>
        <v>3000</v>
      </c>
      <c r="M139" s="1"/>
      <c r="N139" s="5">
        <f t="shared" si="63"/>
        <v>1.4285714285714286</v>
      </c>
      <c r="O139" s="14"/>
      <c r="P139" s="1">
        <f>SUM(OSRRefP22_12x_0)</f>
        <v>5100</v>
      </c>
      <c r="Q139" s="1"/>
      <c r="R139" s="5">
        <f t="shared" si="64"/>
        <v>2.3129438414514182E-2</v>
      </c>
      <c r="S139" s="1"/>
      <c r="T139" s="1">
        <f>SUM(OSRRefT22_12x_0)</f>
        <v>2100</v>
      </c>
      <c r="U139" s="1"/>
      <c r="V139" s="5">
        <f t="shared" si="65"/>
        <v>9.2239880790935033E-3</v>
      </c>
      <c r="W139" s="1"/>
      <c r="X139" s="1">
        <f t="shared" si="66"/>
        <v>3000</v>
      </c>
      <c r="Y139" s="1"/>
      <c r="Z139" s="5">
        <f t="shared" si="67"/>
        <v>1.4285714285714286</v>
      </c>
    </row>
    <row r="140" spans="1:26" s="24" customFormat="1" hidden="1" outlineLevel="2" x14ac:dyDescent="0.3">
      <c r="A140" s="27"/>
      <c r="B140" s="12" t="str">
        <f>CONCATENATE("          ", "6408", " - ", "INVENTORY ADJUSTMENT")</f>
        <v xml:space="preserve">          6408 - INVENTORY ADJUSTMENT</v>
      </c>
      <c r="C140" s="12"/>
      <c r="D140" s="8">
        <v>5100</v>
      </c>
      <c r="E140" s="3"/>
      <c r="F140" s="7">
        <f t="shared" si="60"/>
        <v>2.3129438414514182E-2</v>
      </c>
      <c r="G140" s="3"/>
      <c r="H140" s="8">
        <v>2100</v>
      </c>
      <c r="I140" s="3"/>
      <c r="J140" s="7">
        <f t="shared" si="61"/>
        <v>9.2239880790935033E-3</v>
      </c>
      <c r="K140" s="3"/>
      <c r="L140" s="8">
        <f t="shared" si="62"/>
        <v>3000</v>
      </c>
      <c r="M140" s="3"/>
      <c r="N140" s="7">
        <f t="shared" si="63"/>
        <v>1.4285714285714286</v>
      </c>
      <c r="O140" s="12"/>
      <c r="P140" s="8">
        <v>5100</v>
      </c>
      <c r="Q140" s="3"/>
      <c r="R140" s="7">
        <f t="shared" si="64"/>
        <v>2.3129438414514182E-2</v>
      </c>
      <c r="S140" s="3"/>
      <c r="T140" s="8">
        <v>2100</v>
      </c>
      <c r="U140" s="3"/>
      <c r="V140" s="7">
        <f t="shared" si="65"/>
        <v>9.2239880790935033E-3</v>
      </c>
      <c r="W140" s="3"/>
      <c r="X140" s="8">
        <f t="shared" si="66"/>
        <v>3000</v>
      </c>
      <c r="Y140" s="3"/>
      <c r="Z140" s="7">
        <f t="shared" si="67"/>
        <v>1.4285714285714286</v>
      </c>
    </row>
    <row r="141" spans="1:26" s="24" customFormat="1" hidden="1" outlineLevel="2" x14ac:dyDescent="0.3">
      <c r="A141" s="27"/>
      <c r="B141" s="12" t="str">
        <f>CONCATENATE("          ", "7741", " - ", "INV. SHRINKAGE-LOGO GIFTS")</f>
        <v xml:space="preserve">          7741 - INV. SHRINKAGE-LOGO GIFTS</v>
      </c>
      <c r="C141" s="12"/>
      <c r="D141" s="8"/>
      <c r="E141" s="3"/>
      <c r="F141" s="7">
        <f t="shared" si="60"/>
        <v>0</v>
      </c>
      <c r="G141" s="3"/>
      <c r="H141" s="8">
        <v>0</v>
      </c>
      <c r="I141" s="3"/>
      <c r="J141" s="7">
        <f t="shared" si="61"/>
        <v>0</v>
      </c>
      <c r="K141" s="3"/>
      <c r="L141" s="8">
        <f t="shared" si="62"/>
        <v>0</v>
      </c>
      <c r="M141" s="3"/>
      <c r="N141" s="7">
        <f t="shared" si="63"/>
        <v>0</v>
      </c>
      <c r="O141" s="12"/>
      <c r="P141" s="8"/>
      <c r="Q141" s="3"/>
      <c r="R141" s="7">
        <f t="shared" si="64"/>
        <v>0</v>
      </c>
      <c r="S141" s="3"/>
      <c r="T141" s="8">
        <v>0</v>
      </c>
      <c r="U141" s="3"/>
      <c r="V141" s="7">
        <f t="shared" si="65"/>
        <v>0</v>
      </c>
      <c r="W141" s="3"/>
      <c r="X141" s="8">
        <f t="shared" si="66"/>
        <v>0</v>
      </c>
      <c r="Y141" s="3"/>
      <c r="Z141" s="7">
        <f t="shared" si="67"/>
        <v>0</v>
      </c>
    </row>
    <row r="142" spans="1:26" s="29" customFormat="1" outlineLevel="1" collapsed="1" x14ac:dyDescent="0.3">
      <c r="A142" s="28"/>
      <c r="B142" s="14" t="str">
        <f>CONCATENATE("     ","Rent                                              ")</f>
        <v xml:space="preserve">     Rent                                              </v>
      </c>
      <c r="C142" s="14"/>
      <c r="D142" s="1">
        <f>SUM(OSRRefD22_13x_0)</f>
        <v>6100</v>
      </c>
      <c r="E142" s="1"/>
      <c r="F142" s="5">
        <f t="shared" ref="F142:F147" si="68">IF(D$12=0,0,D142/D$12)</f>
        <v>2.7664622417360101E-2</v>
      </c>
      <c r="G142" s="1"/>
      <c r="H142" s="1">
        <f>SUM(OSRRefH22_13x_0)</f>
        <v>6100</v>
      </c>
      <c r="I142" s="1"/>
      <c r="J142" s="5">
        <f t="shared" ref="J142:J147" si="69">IF(H$12=0,0,H142/H$12)</f>
        <v>2.679348918212875E-2</v>
      </c>
      <c r="K142" s="1"/>
      <c r="L142" s="1">
        <f t="shared" ref="L142:L147" si="70">+D142-H142</f>
        <v>0</v>
      </c>
      <c r="M142" s="1"/>
      <c r="N142" s="5">
        <f t="shared" ref="N142:N147" si="71">IF(H142=0,0,L142/H142)</f>
        <v>0</v>
      </c>
      <c r="O142" s="14"/>
      <c r="P142" s="1">
        <f>SUM(OSRRefP22_13x_0)</f>
        <v>6100</v>
      </c>
      <c r="Q142" s="1"/>
      <c r="R142" s="5">
        <f t="shared" ref="R142:R147" si="72">IF(P$12=0,0,P142/P$12)</f>
        <v>2.7664622417360101E-2</v>
      </c>
      <c r="S142" s="1"/>
      <c r="T142" s="1">
        <f>SUM(OSRRefT22_13x_0)</f>
        <v>6100</v>
      </c>
      <c r="U142" s="1"/>
      <c r="V142" s="5">
        <f t="shared" ref="V142:V147" si="73">IF(T$12=0,0,T142/T$12)</f>
        <v>2.679348918212875E-2</v>
      </c>
      <c r="W142" s="1"/>
      <c r="X142" s="1">
        <f t="shared" ref="X142:X147" si="74">+P142-T142</f>
        <v>0</v>
      </c>
      <c r="Y142" s="1"/>
      <c r="Z142" s="5">
        <f t="shared" ref="Z142:Z147" si="75">IF(T142=0,0,X142/T142)</f>
        <v>0</v>
      </c>
    </row>
    <row r="143" spans="1:26" s="24" customFormat="1" hidden="1" outlineLevel="2" x14ac:dyDescent="0.3">
      <c r="A143" s="27"/>
      <c r="B143" s="12" t="str">
        <f>CONCATENATE("          ", "6273", " - ", "RENT")</f>
        <v xml:space="preserve">          6273 - RENT</v>
      </c>
      <c r="C143" s="12"/>
      <c r="D143" s="8">
        <v>6100</v>
      </c>
      <c r="E143" s="3"/>
      <c r="F143" s="7">
        <f t="shared" si="68"/>
        <v>2.7664622417360101E-2</v>
      </c>
      <c r="G143" s="3"/>
      <c r="H143" s="8">
        <v>6100</v>
      </c>
      <c r="I143" s="3"/>
      <c r="J143" s="7">
        <f t="shared" si="69"/>
        <v>2.679348918212875E-2</v>
      </c>
      <c r="K143" s="3"/>
      <c r="L143" s="8">
        <f t="shared" si="70"/>
        <v>0</v>
      </c>
      <c r="M143" s="3"/>
      <c r="N143" s="7">
        <f t="shared" si="71"/>
        <v>0</v>
      </c>
      <c r="O143" s="12"/>
      <c r="P143" s="8">
        <v>6100</v>
      </c>
      <c r="Q143" s="3"/>
      <c r="R143" s="7">
        <f t="shared" si="72"/>
        <v>2.7664622417360101E-2</v>
      </c>
      <c r="S143" s="3"/>
      <c r="T143" s="8">
        <v>6100</v>
      </c>
      <c r="U143" s="3"/>
      <c r="V143" s="7">
        <f t="shared" si="73"/>
        <v>2.679348918212875E-2</v>
      </c>
      <c r="W143" s="3"/>
      <c r="X143" s="8">
        <f t="shared" si="74"/>
        <v>0</v>
      </c>
      <c r="Y143" s="3"/>
      <c r="Z143" s="7">
        <f t="shared" si="75"/>
        <v>0</v>
      </c>
    </row>
    <row r="144" spans="1:26" s="29" customFormat="1" outlineLevel="1" collapsed="1" x14ac:dyDescent="0.3">
      <c r="A144" s="28"/>
      <c r="B144" s="14" t="str">
        <f>CONCATENATE("     ","Repair and Maintenance                            ")</f>
        <v xml:space="preserve">     Repair and Maintenance                            </v>
      </c>
      <c r="C144" s="14"/>
      <c r="D144" s="1">
        <f>SUM(OSRRefD22_14x_0)</f>
        <v>64762.729999999996</v>
      </c>
      <c r="E144" s="1"/>
      <c r="F144" s="5">
        <f t="shared" si="68"/>
        <v>0.2937108970766294</v>
      </c>
      <c r="G144" s="1"/>
      <c r="H144" s="1">
        <f>SUM(OSRRefH22_14x_0)</f>
        <v>66347.77</v>
      </c>
      <c r="I144" s="1"/>
      <c r="J144" s="5">
        <f t="shared" si="69"/>
        <v>0.29142430454973223</v>
      </c>
      <c r="K144" s="1"/>
      <c r="L144" s="1">
        <f t="shared" si="70"/>
        <v>-1585.0400000000081</v>
      </c>
      <c r="M144" s="1"/>
      <c r="N144" s="5">
        <f t="shared" si="71"/>
        <v>-2.3889876027483787E-2</v>
      </c>
      <c r="O144" s="14"/>
      <c r="P144" s="1">
        <f>SUM(OSRRefP22_14x_0)</f>
        <v>64762.729999999996</v>
      </c>
      <c r="Q144" s="1"/>
      <c r="R144" s="5">
        <f t="shared" si="72"/>
        <v>0.2937108970766294</v>
      </c>
      <c r="S144" s="1"/>
      <c r="T144" s="1">
        <f>SUM(OSRRefT22_14x_0)</f>
        <v>66347.77</v>
      </c>
      <c r="U144" s="1"/>
      <c r="V144" s="5">
        <f t="shared" si="73"/>
        <v>0.29142430454973223</v>
      </c>
      <c r="W144" s="1"/>
      <c r="X144" s="1">
        <f t="shared" si="74"/>
        <v>-1585.0400000000081</v>
      </c>
      <c r="Y144" s="1"/>
      <c r="Z144" s="5">
        <f t="shared" si="75"/>
        <v>-2.3889876027483787E-2</v>
      </c>
    </row>
    <row r="145" spans="1:26" s="24" customFormat="1" hidden="1" outlineLevel="2" x14ac:dyDescent="0.3">
      <c r="A145" s="27"/>
      <c r="B145" s="12" t="str">
        <f>CONCATENATE("          ", "6371", " - ", "COMPUTER SOFTWARE MAINTENANCE")</f>
        <v xml:space="preserve">          6371 - COMPUTER SOFTWARE MAINTENANCE</v>
      </c>
      <c r="C145" s="12"/>
      <c r="D145" s="8">
        <v>59623.5</v>
      </c>
      <c r="E145" s="3"/>
      <c r="F145" s="7">
        <f t="shared" si="68"/>
        <v>0.27040354339368361</v>
      </c>
      <c r="G145" s="3"/>
      <c r="H145" s="8">
        <v>58428.78</v>
      </c>
      <c r="I145" s="3"/>
      <c r="J145" s="7">
        <f t="shared" si="69"/>
        <v>0.25664112866475092</v>
      </c>
      <c r="K145" s="3"/>
      <c r="L145" s="8">
        <f t="shared" si="70"/>
        <v>1194.7200000000012</v>
      </c>
      <c r="M145" s="3"/>
      <c r="N145" s="7">
        <f t="shared" si="71"/>
        <v>2.044745757142287E-2</v>
      </c>
      <c r="O145" s="12"/>
      <c r="P145" s="8">
        <v>59623.5</v>
      </c>
      <c r="Q145" s="3"/>
      <c r="R145" s="7">
        <f t="shared" si="72"/>
        <v>0.27040354339368361</v>
      </c>
      <c r="S145" s="3"/>
      <c r="T145" s="8">
        <v>58428.78</v>
      </c>
      <c r="U145" s="3"/>
      <c r="V145" s="7">
        <f t="shared" si="73"/>
        <v>0.25664112866475092</v>
      </c>
      <c r="W145" s="3"/>
      <c r="X145" s="8">
        <f t="shared" si="74"/>
        <v>1194.7200000000012</v>
      </c>
      <c r="Y145" s="3"/>
      <c r="Z145" s="7">
        <f t="shared" si="75"/>
        <v>2.044745757142287E-2</v>
      </c>
    </row>
    <row r="146" spans="1:26" s="24" customFormat="1" hidden="1" outlineLevel="2" x14ac:dyDescent="0.3">
      <c r="A146" s="27"/>
      <c r="B146" s="12" t="str">
        <f>CONCATENATE("          ", "6373", " - ", "MAINTENANCE CONTRACTS")</f>
        <v xml:space="preserve">          6373 - MAINTENANCE CONTRACTS</v>
      </c>
      <c r="C146" s="12"/>
      <c r="D146" s="8">
        <v>654.63</v>
      </c>
      <c r="E146" s="3"/>
      <c r="F146" s="7">
        <f t="shared" si="68"/>
        <v>2.9688675037830231E-3</v>
      </c>
      <c r="G146" s="3"/>
      <c r="H146" s="8">
        <v>6416.01</v>
      </c>
      <c r="I146" s="3"/>
      <c r="J146" s="7">
        <f t="shared" si="69"/>
        <v>2.8181523693021293E-2</v>
      </c>
      <c r="K146" s="3"/>
      <c r="L146" s="8">
        <f t="shared" si="70"/>
        <v>-5761.38</v>
      </c>
      <c r="M146" s="3"/>
      <c r="N146" s="7">
        <f t="shared" si="71"/>
        <v>-0.89796929867628006</v>
      </c>
      <c r="O146" s="12"/>
      <c r="P146" s="8">
        <v>654.63</v>
      </c>
      <c r="Q146" s="3"/>
      <c r="R146" s="7">
        <f t="shared" si="72"/>
        <v>2.9688675037830231E-3</v>
      </c>
      <c r="S146" s="3"/>
      <c r="T146" s="8">
        <v>6416.01</v>
      </c>
      <c r="U146" s="3"/>
      <c r="V146" s="7">
        <f t="shared" si="73"/>
        <v>2.8181523693021293E-2</v>
      </c>
      <c r="W146" s="3"/>
      <c r="X146" s="8">
        <f t="shared" si="74"/>
        <v>-5761.38</v>
      </c>
      <c r="Y146" s="3"/>
      <c r="Z146" s="7">
        <f t="shared" si="75"/>
        <v>-0.89796929867628006</v>
      </c>
    </row>
    <row r="147" spans="1:26" s="24" customFormat="1" hidden="1" outlineLevel="2" x14ac:dyDescent="0.3">
      <c r="A147" s="27"/>
      <c r="B147" s="12" t="str">
        <f>CONCATENATE("          ", "6375", " - ", "OUTSIDE REPAIRS &amp; MAINTENANCE")</f>
        <v xml:space="preserve">          6375 - OUTSIDE REPAIRS &amp; MAINTENANCE</v>
      </c>
      <c r="C147" s="12"/>
      <c r="D147" s="8">
        <v>4484.6000000000004</v>
      </c>
      <c r="E147" s="3"/>
      <c r="F147" s="7">
        <f t="shared" si="68"/>
        <v>2.0338486179162805E-2</v>
      </c>
      <c r="G147" s="3"/>
      <c r="H147" s="8">
        <v>1502.98</v>
      </c>
      <c r="I147" s="3"/>
      <c r="J147" s="7">
        <f t="shared" si="69"/>
        <v>6.6016521919599787E-3</v>
      </c>
      <c r="K147" s="3"/>
      <c r="L147" s="8">
        <f t="shared" si="70"/>
        <v>2981.6200000000003</v>
      </c>
      <c r="M147" s="3"/>
      <c r="N147" s="7">
        <f t="shared" si="71"/>
        <v>1.9838055063939641</v>
      </c>
      <c r="O147" s="12"/>
      <c r="P147" s="8">
        <v>4484.6000000000004</v>
      </c>
      <c r="Q147" s="3"/>
      <c r="R147" s="7">
        <f t="shared" si="72"/>
        <v>2.0338486179162805E-2</v>
      </c>
      <c r="S147" s="3"/>
      <c r="T147" s="8">
        <v>1502.98</v>
      </c>
      <c r="U147" s="3"/>
      <c r="V147" s="7">
        <f t="shared" si="73"/>
        <v>6.6016521919599787E-3</v>
      </c>
      <c r="W147" s="3"/>
      <c r="X147" s="8">
        <f t="shared" si="74"/>
        <v>2981.6200000000003</v>
      </c>
      <c r="Y147" s="3"/>
      <c r="Z147" s="7">
        <f t="shared" si="75"/>
        <v>1.9838055063939641</v>
      </c>
    </row>
    <row r="148" spans="1:26" s="29" customFormat="1" outlineLevel="1" collapsed="1" x14ac:dyDescent="0.3">
      <c r="A148" s="28"/>
      <c r="B148" s="14" t="str">
        <f>CONCATENATE("     ","Royalty &amp; Commissions                             ")</f>
        <v xml:space="preserve">     Royalty &amp; Commissions                             </v>
      </c>
      <c r="C148" s="14"/>
      <c r="D148" s="1">
        <f>SUM(OSRRefD22_15x_0)</f>
        <v>7355.1000000000013</v>
      </c>
      <c r="E148" s="1"/>
      <c r="F148" s="5">
        <f t="shared" ref="F148:F151" si="76">IF(D$12=0,0,D148/D$12)</f>
        <v>3.3356731859332016E-2</v>
      </c>
      <c r="G148" s="1"/>
      <c r="H148" s="1">
        <f>SUM(OSRRefH22_15x_0)</f>
        <v>10989.75</v>
      </c>
      <c r="I148" s="1"/>
      <c r="J148" s="5">
        <f t="shared" ref="J148:J151" si="77">IF(H$12=0,0,H148/H$12)</f>
        <v>4.8271106186770399E-2</v>
      </c>
      <c r="K148" s="1"/>
      <c r="L148" s="1">
        <f t="shared" ref="L148:L151" si="78">+D148-H148</f>
        <v>-3634.6499999999987</v>
      </c>
      <c r="M148" s="1"/>
      <c r="N148" s="5">
        <f t="shared" ref="N148:N151" si="79">IF(H148=0,0,L148/H148)</f>
        <v>-0.33073090834641361</v>
      </c>
      <c r="O148" s="14"/>
      <c r="P148" s="1">
        <f>SUM(OSRRefP22_15x_0)</f>
        <v>7355.1000000000013</v>
      </c>
      <c r="Q148" s="1"/>
      <c r="R148" s="5">
        <f t="shared" ref="R148:R151" si="80">IF(P$12=0,0,P148/P$12)</f>
        <v>3.3356731859332016E-2</v>
      </c>
      <c r="S148" s="1"/>
      <c r="T148" s="1">
        <f>SUM(OSRRefT22_15x_0)</f>
        <v>10989.75</v>
      </c>
      <c r="U148" s="1"/>
      <c r="V148" s="5">
        <f t="shared" ref="V148:V151" si="81">IF(T$12=0,0,T148/T$12)</f>
        <v>4.8271106186770399E-2</v>
      </c>
      <c r="W148" s="1"/>
      <c r="X148" s="1">
        <f t="shared" ref="X148:X151" si="82">+P148-T148</f>
        <v>-3634.6499999999987</v>
      </c>
      <c r="Y148" s="1"/>
      <c r="Z148" s="5">
        <f t="shared" ref="Z148:Z151" si="83">IF(T148=0,0,X148/T148)</f>
        <v>-0.33073090834641361</v>
      </c>
    </row>
    <row r="149" spans="1:26" s="24" customFormat="1" hidden="1" outlineLevel="2" x14ac:dyDescent="0.3">
      <c r="A149" s="27"/>
      <c r="B149" s="12" t="str">
        <f>CONCATENATE("          ", "6253", " - ", "ROYALTY DUE ATHLETICS-LRG")</f>
        <v xml:space="preserve">          6253 - ROYALTY DUE ATHLETICS-LRG</v>
      </c>
      <c r="C149" s="12"/>
      <c r="D149" s="8">
        <v>14376.54</v>
      </c>
      <c r="E149" s="3"/>
      <c r="F149" s="7">
        <f t="shared" si="76"/>
        <v>6.5200254224274459E-2</v>
      </c>
      <c r="G149" s="3"/>
      <c r="H149" s="8">
        <v>5672.2</v>
      </c>
      <c r="I149" s="3"/>
      <c r="J149" s="7">
        <f t="shared" si="77"/>
        <v>2.4914431039159128E-2</v>
      </c>
      <c r="K149" s="3"/>
      <c r="L149" s="8">
        <f t="shared" si="78"/>
        <v>8704.34</v>
      </c>
      <c r="M149" s="3"/>
      <c r="N149" s="7">
        <f t="shared" si="79"/>
        <v>1.5345615457847044</v>
      </c>
      <c r="O149" s="12"/>
      <c r="P149" s="8">
        <v>14376.54</v>
      </c>
      <c r="Q149" s="3"/>
      <c r="R149" s="7">
        <f t="shared" si="80"/>
        <v>6.5200254224274459E-2</v>
      </c>
      <c r="S149" s="3"/>
      <c r="T149" s="8">
        <v>5672.2</v>
      </c>
      <c r="U149" s="3"/>
      <c r="V149" s="7">
        <f t="shared" si="81"/>
        <v>2.4914431039159128E-2</v>
      </c>
      <c r="W149" s="3"/>
      <c r="X149" s="8">
        <f t="shared" si="82"/>
        <v>8704.34</v>
      </c>
      <c r="Y149" s="3"/>
      <c r="Z149" s="7">
        <f t="shared" si="83"/>
        <v>1.5345615457847044</v>
      </c>
    </row>
    <row r="150" spans="1:26" s="24" customFormat="1" hidden="1" outlineLevel="2" x14ac:dyDescent="0.3">
      <c r="A150" s="27"/>
      <c r="B150" s="12" t="str">
        <f>CONCATENATE("          ", "6254", " - ", "ROYALTY &amp; COMMISSIONS")</f>
        <v xml:space="preserve">          6254 - ROYALTY &amp; COMMISSIONS</v>
      </c>
      <c r="C150" s="12"/>
      <c r="D150" s="8">
        <v>-7027.5</v>
      </c>
      <c r="E150" s="3"/>
      <c r="F150" s="7">
        <f t="shared" si="76"/>
        <v>-3.1871005579999688E-2</v>
      </c>
      <c r="G150" s="3"/>
      <c r="H150" s="8"/>
      <c r="I150" s="3"/>
      <c r="J150" s="7">
        <f t="shared" si="77"/>
        <v>0</v>
      </c>
      <c r="K150" s="3"/>
      <c r="L150" s="8">
        <f t="shared" si="78"/>
        <v>-7027.5</v>
      </c>
      <c r="M150" s="3"/>
      <c r="N150" s="7">
        <f t="shared" si="79"/>
        <v>0</v>
      </c>
      <c r="O150" s="12"/>
      <c r="P150" s="8">
        <v>-7027.5</v>
      </c>
      <c r="Q150" s="3"/>
      <c r="R150" s="7">
        <f t="shared" si="80"/>
        <v>-3.1871005579999688E-2</v>
      </c>
      <c r="S150" s="3"/>
      <c r="T150" s="8"/>
      <c r="U150" s="3"/>
      <c r="V150" s="7">
        <f t="shared" si="81"/>
        <v>0</v>
      </c>
      <c r="W150" s="3"/>
      <c r="X150" s="8">
        <f t="shared" si="82"/>
        <v>-7027.5</v>
      </c>
      <c r="Y150" s="3"/>
      <c r="Z150" s="7">
        <f t="shared" si="83"/>
        <v>0</v>
      </c>
    </row>
    <row r="151" spans="1:26" s="24" customFormat="1" hidden="1" outlineLevel="2" x14ac:dyDescent="0.3">
      <c r="A151" s="27"/>
      <c r="B151" s="12" t="str">
        <f>CONCATENATE("          ", "6259", " - ", "ROYALTY &amp; COMMISSIONS")</f>
        <v xml:space="preserve">          6259 - ROYALTY &amp; COMMISSIONS</v>
      </c>
      <c r="C151" s="12"/>
      <c r="D151" s="8">
        <v>6.06</v>
      </c>
      <c r="E151" s="3"/>
      <c r="F151" s="7">
        <f t="shared" si="76"/>
        <v>2.748321505724626E-5</v>
      </c>
      <c r="G151" s="3"/>
      <c r="H151" s="8">
        <v>5317.55</v>
      </c>
      <c r="I151" s="3"/>
      <c r="J151" s="7">
        <f t="shared" si="77"/>
        <v>2.3356675147611267E-2</v>
      </c>
      <c r="K151" s="3"/>
      <c r="L151" s="8">
        <f t="shared" si="78"/>
        <v>-5311.49</v>
      </c>
      <c r="M151" s="3"/>
      <c r="N151" s="7">
        <f t="shared" si="79"/>
        <v>-0.99886037742945522</v>
      </c>
      <c r="O151" s="12"/>
      <c r="P151" s="8">
        <v>6.06</v>
      </c>
      <c r="Q151" s="3"/>
      <c r="R151" s="7">
        <f t="shared" si="80"/>
        <v>2.748321505724626E-5</v>
      </c>
      <c r="S151" s="3"/>
      <c r="T151" s="8">
        <v>5317.55</v>
      </c>
      <c r="U151" s="3"/>
      <c r="V151" s="7">
        <f t="shared" si="81"/>
        <v>2.3356675147611267E-2</v>
      </c>
      <c r="W151" s="3"/>
      <c r="X151" s="8">
        <f t="shared" si="82"/>
        <v>-5311.49</v>
      </c>
      <c r="Y151" s="3"/>
      <c r="Z151" s="7">
        <f t="shared" si="83"/>
        <v>-0.99886037742945522</v>
      </c>
    </row>
    <row r="152" spans="1:26" s="29" customFormat="1" outlineLevel="1" collapsed="1" x14ac:dyDescent="0.3">
      <c r="A152" s="28"/>
      <c r="B152" s="14" t="str">
        <f>CONCATENATE("     ","Services                                          ")</f>
        <v xml:space="preserve">     Services                                          </v>
      </c>
      <c r="C152" s="14"/>
      <c r="D152" s="1">
        <f>SUM(OSRRefD22_16x_0)</f>
        <v>4006.32</v>
      </c>
      <c r="E152" s="1"/>
      <c r="F152" s="5">
        <f t="shared" ref="F152:F156" si="84">IF(D$12=0,0,D152/D$12)</f>
        <v>1.8169398374281658E-2</v>
      </c>
      <c r="G152" s="1"/>
      <c r="H152" s="1">
        <f>SUM(OSRRefH22_16x_0)</f>
        <v>3883.7400000000002</v>
      </c>
      <c r="I152" s="1"/>
      <c r="J152" s="5">
        <f t="shared" ref="J152:J156" si="85">IF(H$12=0,0,H152/H$12)</f>
        <v>1.7058843553475526E-2</v>
      </c>
      <c r="K152" s="1"/>
      <c r="L152" s="1">
        <f t="shared" ref="L152:L156" si="86">+D152-H152</f>
        <v>122.57999999999993</v>
      </c>
      <c r="M152" s="1"/>
      <c r="N152" s="5">
        <f t="shared" ref="N152:N156" si="87">IF(H152=0,0,L152/H152)</f>
        <v>3.1562359993202407E-2</v>
      </c>
      <c r="O152" s="14"/>
      <c r="P152" s="1">
        <f>SUM(OSRRefP22_16x_0)</f>
        <v>4006.32</v>
      </c>
      <c r="Q152" s="1"/>
      <c r="R152" s="5">
        <f t="shared" ref="R152:R156" si="88">IF(P$12=0,0,P152/P$12)</f>
        <v>1.8169398374281658E-2</v>
      </c>
      <c r="S152" s="1"/>
      <c r="T152" s="1">
        <f>SUM(OSRRefT22_16x_0)</f>
        <v>3883.7400000000002</v>
      </c>
      <c r="U152" s="1"/>
      <c r="V152" s="5">
        <f t="shared" ref="V152:V156" si="89">IF(T$12=0,0,T152/T$12)</f>
        <v>1.7058843553475526E-2</v>
      </c>
      <c r="W152" s="1"/>
      <c r="X152" s="1">
        <f t="shared" ref="X152:X156" si="90">+P152-T152</f>
        <v>122.57999999999993</v>
      </c>
      <c r="Y152" s="1"/>
      <c r="Z152" s="5">
        <f t="shared" ref="Z152:Z156" si="91">IF(T152=0,0,X152/T152)</f>
        <v>3.1562359993202407E-2</v>
      </c>
    </row>
    <row r="153" spans="1:26" s="24" customFormat="1" hidden="1" outlineLevel="2" x14ac:dyDescent="0.3">
      <c r="A153" s="27"/>
      <c r="B153" s="12" t="str">
        <f>CONCATENATE("          ", "6282", " - ", "JANITORIAL/EXTERMINATOR EXPENS")</f>
        <v xml:space="preserve">          6282 - JANITORIAL/EXTERMINATOR EXPENS</v>
      </c>
      <c r="C153" s="12"/>
      <c r="D153" s="8"/>
      <c r="E153" s="3"/>
      <c r="F153" s="7">
        <f t="shared" si="84"/>
        <v>0</v>
      </c>
      <c r="G153" s="3"/>
      <c r="H153" s="8">
        <v>136.5</v>
      </c>
      <c r="I153" s="3"/>
      <c r="J153" s="7">
        <f t="shared" si="85"/>
        <v>5.9955922514107771E-4</v>
      </c>
      <c r="K153" s="3"/>
      <c r="L153" s="8">
        <f t="shared" si="86"/>
        <v>-136.5</v>
      </c>
      <c r="M153" s="3"/>
      <c r="N153" s="7">
        <f t="shared" si="87"/>
        <v>-1</v>
      </c>
      <c r="O153" s="12"/>
      <c r="P153" s="8"/>
      <c r="Q153" s="3"/>
      <c r="R153" s="7">
        <f t="shared" si="88"/>
        <v>0</v>
      </c>
      <c r="S153" s="3"/>
      <c r="T153" s="8">
        <v>136.5</v>
      </c>
      <c r="U153" s="3"/>
      <c r="V153" s="7">
        <f t="shared" si="89"/>
        <v>5.9955922514107771E-4</v>
      </c>
      <c r="W153" s="3"/>
      <c r="X153" s="8">
        <f t="shared" si="90"/>
        <v>-136.5</v>
      </c>
      <c r="Y153" s="3"/>
      <c r="Z153" s="7">
        <f t="shared" si="91"/>
        <v>-1</v>
      </c>
    </row>
    <row r="154" spans="1:26" s="24" customFormat="1" hidden="1" outlineLevel="2" x14ac:dyDescent="0.3">
      <c r="A154" s="27"/>
      <c r="B154" s="12" t="str">
        <f>CONCATENATE("          ", "6283", " - ", "PLANT SERVICE")</f>
        <v xml:space="preserve">          6283 - PLANT SERVICE</v>
      </c>
      <c r="C154" s="12"/>
      <c r="D154" s="8"/>
      <c r="E154" s="3"/>
      <c r="F154" s="7">
        <f t="shared" si="84"/>
        <v>0</v>
      </c>
      <c r="G154" s="3"/>
      <c r="H154" s="8">
        <v>130</v>
      </c>
      <c r="I154" s="3"/>
      <c r="J154" s="7">
        <f t="shared" si="85"/>
        <v>5.7100878584864551E-4</v>
      </c>
      <c r="K154" s="3"/>
      <c r="L154" s="8">
        <f t="shared" si="86"/>
        <v>-130</v>
      </c>
      <c r="M154" s="3"/>
      <c r="N154" s="7">
        <f t="shared" si="87"/>
        <v>-1</v>
      </c>
      <c r="O154" s="12"/>
      <c r="P154" s="8"/>
      <c r="Q154" s="3"/>
      <c r="R154" s="7">
        <f t="shared" si="88"/>
        <v>0</v>
      </c>
      <c r="S154" s="3"/>
      <c r="T154" s="8">
        <v>130</v>
      </c>
      <c r="U154" s="3"/>
      <c r="V154" s="7">
        <f t="shared" si="89"/>
        <v>5.7100878584864551E-4</v>
      </c>
      <c r="W154" s="3"/>
      <c r="X154" s="8">
        <f t="shared" si="90"/>
        <v>-130</v>
      </c>
      <c r="Y154" s="3"/>
      <c r="Z154" s="7">
        <f t="shared" si="91"/>
        <v>-1</v>
      </c>
    </row>
    <row r="155" spans="1:26" s="24" customFormat="1" hidden="1" outlineLevel="2" x14ac:dyDescent="0.3">
      <c r="A155" s="27"/>
      <c r="B155" s="12" t="str">
        <f>CONCATENATE("          ", "6284", " - ", "TRASH REMOVAL EXPENSE")</f>
        <v xml:space="preserve">          6284 - TRASH REMOVAL EXPENSE</v>
      </c>
      <c r="C155" s="12"/>
      <c r="D155" s="8">
        <v>142.57</v>
      </c>
      <c r="E155" s="3"/>
      <c r="F155" s="7">
        <f t="shared" si="84"/>
        <v>6.4658118328574251E-4</v>
      </c>
      <c r="G155" s="3"/>
      <c r="H155" s="8">
        <v>142.57</v>
      </c>
      <c r="I155" s="3"/>
      <c r="J155" s="7">
        <f t="shared" si="85"/>
        <v>6.2622094306493369E-4</v>
      </c>
      <c r="K155" s="3"/>
      <c r="L155" s="8">
        <f t="shared" si="86"/>
        <v>0</v>
      </c>
      <c r="M155" s="3"/>
      <c r="N155" s="7">
        <f t="shared" si="87"/>
        <v>0</v>
      </c>
      <c r="O155" s="12"/>
      <c r="P155" s="8">
        <v>142.57</v>
      </c>
      <c r="Q155" s="3"/>
      <c r="R155" s="7">
        <f t="shared" si="88"/>
        <v>6.4658118328574251E-4</v>
      </c>
      <c r="S155" s="3"/>
      <c r="T155" s="8">
        <v>142.57</v>
      </c>
      <c r="U155" s="3"/>
      <c r="V155" s="7">
        <f t="shared" si="89"/>
        <v>6.2622094306493369E-4</v>
      </c>
      <c r="W155" s="3"/>
      <c r="X155" s="8">
        <f t="shared" si="90"/>
        <v>0</v>
      </c>
      <c r="Y155" s="3"/>
      <c r="Z155" s="7">
        <f t="shared" si="91"/>
        <v>0</v>
      </c>
    </row>
    <row r="156" spans="1:26" s="24" customFormat="1" hidden="1" outlineLevel="2" x14ac:dyDescent="0.3">
      <c r="A156" s="27"/>
      <c r="B156" s="12" t="str">
        <f>CONCATENATE("          ", "6285", " - ", "JANITORIAL SERVICES")</f>
        <v xml:space="preserve">          6285 - JANITORIAL SERVICES</v>
      </c>
      <c r="C156" s="12"/>
      <c r="D156" s="8">
        <v>3863.75</v>
      </c>
      <c r="E156" s="3"/>
      <c r="F156" s="7">
        <f t="shared" si="84"/>
        <v>1.7522817190995917E-2</v>
      </c>
      <c r="G156" s="3"/>
      <c r="H156" s="8">
        <v>3474.67</v>
      </c>
      <c r="I156" s="3"/>
      <c r="J156" s="7">
        <f t="shared" si="85"/>
        <v>1.5262054599420869E-2</v>
      </c>
      <c r="K156" s="3"/>
      <c r="L156" s="8">
        <f t="shared" si="86"/>
        <v>389.07999999999993</v>
      </c>
      <c r="M156" s="3"/>
      <c r="N156" s="7">
        <f t="shared" si="87"/>
        <v>0.11197610132760806</v>
      </c>
      <c r="O156" s="12"/>
      <c r="P156" s="8">
        <v>3863.75</v>
      </c>
      <c r="Q156" s="3"/>
      <c r="R156" s="7">
        <f t="shared" si="88"/>
        <v>1.7522817190995917E-2</v>
      </c>
      <c r="S156" s="3"/>
      <c r="T156" s="8">
        <v>3474.67</v>
      </c>
      <c r="U156" s="3"/>
      <c r="V156" s="7">
        <f t="shared" si="89"/>
        <v>1.5262054599420869E-2</v>
      </c>
      <c r="W156" s="3"/>
      <c r="X156" s="8">
        <f t="shared" si="90"/>
        <v>389.07999999999993</v>
      </c>
      <c r="Y156" s="3"/>
      <c r="Z156" s="7">
        <f t="shared" si="91"/>
        <v>0.11197610132760806</v>
      </c>
    </row>
    <row r="157" spans="1:26" s="29" customFormat="1" outlineLevel="1" collapsed="1" x14ac:dyDescent="0.3">
      <c r="A157" s="28"/>
      <c r="B157" s="14" t="str">
        <f>CONCATENATE("     ","Subscriptions &amp; Dues                              ")</f>
        <v xml:space="preserve">     Subscriptions &amp; Dues                              </v>
      </c>
      <c r="C157" s="14"/>
      <c r="D157" s="1">
        <f>SUM(OSRRefD22_17x_0)</f>
        <v>68.319999999999993</v>
      </c>
      <c r="E157" s="1"/>
      <c r="F157" s="5">
        <f t="shared" ref="F157:F159" si="92">IF(D$12=0,0,D157/D$12)</f>
        <v>3.0984377107443311E-4</v>
      </c>
      <c r="G157" s="1"/>
      <c r="H157" s="1">
        <f>SUM(OSRRefH22_17x_0)</f>
        <v>365</v>
      </c>
      <c r="I157" s="1"/>
      <c r="J157" s="5">
        <f t="shared" ref="J157:J159" si="93">IF(H$12=0,0,H157/H$12)</f>
        <v>1.6032169756519661E-3</v>
      </c>
      <c r="K157" s="1"/>
      <c r="L157" s="1">
        <f t="shared" ref="L157:L159" si="94">+D157-H157</f>
        <v>-296.68</v>
      </c>
      <c r="M157" s="1"/>
      <c r="N157" s="5">
        <f t="shared" ref="N157:N159" si="95">IF(H157=0,0,L157/H157)</f>
        <v>-0.81282191780821922</v>
      </c>
      <c r="O157" s="14"/>
      <c r="P157" s="1">
        <f>SUM(OSRRefP22_17x_0)</f>
        <v>68.319999999999993</v>
      </c>
      <c r="Q157" s="1"/>
      <c r="R157" s="5">
        <f t="shared" ref="R157:R159" si="96">IF(P$12=0,0,P157/P$12)</f>
        <v>3.0984377107443311E-4</v>
      </c>
      <c r="S157" s="1"/>
      <c r="T157" s="1">
        <f>SUM(OSRRefT22_17x_0)</f>
        <v>365</v>
      </c>
      <c r="U157" s="1"/>
      <c r="V157" s="5">
        <f t="shared" ref="V157:V159" si="97">IF(T$12=0,0,T157/T$12)</f>
        <v>1.6032169756519661E-3</v>
      </c>
      <c r="W157" s="1"/>
      <c r="X157" s="1">
        <f t="shared" ref="X157:X159" si="98">+P157-T157</f>
        <v>-296.68</v>
      </c>
      <c r="Y157" s="1"/>
      <c r="Z157" s="5">
        <f t="shared" ref="Z157:Z159" si="99">IF(T157=0,0,X157/T157)</f>
        <v>-0.81282191780821922</v>
      </c>
    </row>
    <row r="158" spans="1:26" s="24" customFormat="1" hidden="1" outlineLevel="2" x14ac:dyDescent="0.3">
      <c r="A158" s="27"/>
      <c r="B158" s="12" t="str">
        <f>CONCATENATE("          ", "6258", " - ", "MEMBERSHIP DUES")</f>
        <v xml:space="preserve">          6258 - MEMBERSHIP DUES</v>
      </c>
      <c r="C158" s="12"/>
      <c r="D158" s="8">
        <v>68.319999999999993</v>
      </c>
      <c r="E158" s="3"/>
      <c r="F158" s="7">
        <f t="shared" si="92"/>
        <v>3.0984377107443311E-4</v>
      </c>
      <c r="G158" s="3"/>
      <c r="H158" s="8">
        <v>290</v>
      </c>
      <c r="I158" s="3"/>
      <c r="J158" s="7">
        <f t="shared" si="93"/>
        <v>1.2737888299700552E-3</v>
      </c>
      <c r="K158" s="3"/>
      <c r="L158" s="8">
        <f t="shared" si="94"/>
        <v>-221.68</v>
      </c>
      <c r="M158" s="3"/>
      <c r="N158" s="7">
        <f t="shared" si="95"/>
        <v>-0.76441379310344826</v>
      </c>
      <c r="O158" s="12"/>
      <c r="P158" s="8">
        <v>68.319999999999993</v>
      </c>
      <c r="Q158" s="3"/>
      <c r="R158" s="7">
        <f t="shared" si="96"/>
        <v>3.0984377107443311E-4</v>
      </c>
      <c r="S158" s="3"/>
      <c r="T158" s="8">
        <v>290</v>
      </c>
      <c r="U158" s="3"/>
      <c r="V158" s="7">
        <f t="shared" si="97"/>
        <v>1.2737888299700552E-3</v>
      </c>
      <c r="W158" s="3"/>
      <c r="X158" s="8">
        <f t="shared" si="98"/>
        <v>-221.68</v>
      </c>
      <c r="Y158" s="3"/>
      <c r="Z158" s="7">
        <f t="shared" si="99"/>
        <v>-0.76441379310344826</v>
      </c>
    </row>
    <row r="159" spans="1:26" s="24" customFormat="1" hidden="1" outlineLevel="2" x14ac:dyDescent="0.3">
      <c r="A159" s="27"/>
      <c r="B159" s="12" t="str">
        <f>CONCATENATE("          ", "6275", " - ", "SUBSCRIPTIONS")</f>
        <v xml:space="preserve">          6275 - SUBSCRIPTIONS</v>
      </c>
      <c r="C159" s="12"/>
      <c r="D159" s="8"/>
      <c r="E159" s="3"/>
      <c r="F159" s="7">
        <f t="shared" si="92"/>
        <v>0</v>
      </c>
      <c r="G159" s="3"/>
      <c r="H159" s="8">
        <v>75</v>
      </c>
      <c r="I159" s="3"/>
      <c r="J159" s="7">
        <f t="shared" si="93"/>
        <v>3.2942814568191086E-4</v>
      </c>
      <c r="K159" s="3"/>
      <c r="L159" s="8">
        <f t="shared" si="94"/>
        <v>-75</v>
      </c>
      <c r="M159" s="3"/>
      <c r="N159" s="7">
        <f t="shared" si="95"/>
        <v>-1</v>
      </c>
      <c r="O159" s="12"/>
      <c r="P159" s="8"/>
      <c r="Q159" s="3"/>
      <c r="R159" s="7">
        <f t="shared" si="96"/>
        <v>0</v>
      </c>
      <c r="S159" s="3"/>
      <c r="T159" s="8">
        <v>75</v>
      </c>
      <c r="U159" s="3"/>
      <c r="V159" s="7">
        <f t="shared" si="97"/>
        <v>3.2942814568191086E-4</v>
      </c>
      <c r="W159" s="3"/>
      <c r="X159" s="8">
        <f t="shared" si="98"/>
        <v>-75</v>
      </c>
      <c r="Y159" s="3"/>
      <c r="Z159" s="7">
        <f t="shared" si="99"/>
        <v>-1</v>
      </c>
    </row>
    <row r="160" spans="1:26" s="29" customFormat="1" outlineLevel="1" collapsed="1" x14ac:dyDescent="0.3">
      <c r="A160" s="28"/>
      <c r="B160" s="14" t="str">
        <f>CONCATENATE("     ","Supplies                                          ")</f>
        <v xml:space="preserve">     Supplies                                          </v>
      </c>
      <c r="C160" s="14"/>
      <c r="D160" s="1">
        <f>SUM(OSRRefD22_18x_0)</f>
        <v>7086.3600000000006</v>
      </c>
      <c r="E160" s="1"/>
      <c r="F160" s="5">
        <f t="shared" ref="F160:F166" si="100">IF(D$12=0,0,D160/D$12)</f>
        <v>3.2137946510407203E-2</v>
      </c>
      <c r="G160" s="1"/>
      <c r="H160" s="1">
        <f>SUM(OSRRefH22_18x_0)</f>
        <v>11519.92</v>
      </c>
      <c r="I160" s="1"/>
      <c r="J160" s="5">
        <f t="shared" ref="J160:J166" si="101">IF(H$12=0,0,H160/H$12)</f>
        <v>5.0599811786719448E-2</v>
      </c>
      <c r="K160" s="1"/>
      <c r="L160" s="1">
        <f t="shared" ref="L160:L166" si="102">+D160-H160</f>
        <v>-4433.5599999999995</v>
      </c>
      <c r="M160" s="1"/>
      <c r="N160" s="5">
        <f t="shared" ref="N160:N166" si="103">IF(H160=0,0,L160/H160)</f>
        <v>-0.38486031152994116</v>
      </c>
      <c r="O160" s="14"/>
      <c r="P160" s="1">
        <f>SUM(OSRRefP22_18x_0)</f>
        <v>7086.3600000000006</v>
      </c>
      <c r="Q160" s="1"/>
      <c r="R160" s="5">
        <f t="shared" ref="R160:R166" si="104">IF(P$12=0,0,P160/P$12)</f>
        <v>3.2137946510407203E-2</v>
      </c>
      <c r="S160" s="1"/>
      <c r="T160" s="1">
        <f>SUM(OSRRefT22_18x_0)</f>
        <v>11519.92</v>
      </c>
      <c r="U160" s="1"/>
      <c r="V160" s="5">
        <f t="shared" ref="V160:V166" si="105">IF(T$12=0,0,T160/T$12)</f>
        <v>5.0599811786719448E-2</v>
      </c>
      <c r="W160" s="1"/>
      <c r="X160" s="1">
        <f t="shared" ref="X160:X166" si="106">+P160-T160</f>
        <v>-4433.5599999999995</v>
      </c>
      <c r="Y160" s="1"/>
      <c r="Z160" s="5">
        <f t="shared" ref="Z160:Z166" si="107">IF(T160=0,0,X160/T160)</f>
        <v>-0.38486031152994116</v>
      </c>
    </row>
    <row r="161" spans="1:26" s="24" customFormat="1" hidden="1" outlineLevel="2" x14ac:dyDescent="0.3">
      <c r="A161" s="27"/>
      <c r="B161" s="12" t="str">
        <f>CONCATENATE("          ", "6235", " - ", "COVID-19 EXPENSES")</f>
        <v xml:space="preserve">          6235 - COVID-19 EXPENSES</v>
      </c>
      <c r="C161" s="12"/>
      <c r="D161" s="8">
        <v>272.22000000000003</v>
      </c>
      <c r="E161" s="3"/>
      <c r="F161" s="7">
        <f t="shared" si="100"/>
        <v>1.2345677892547158E-3</v>
      </c>
      <c r="G161" s="3"/>
      <c r="H161" s="8">
        <v>6012.11</v>
      </c>
      <c r="I161" s="3"/>
      <c r="J161" s="7">
        <f t="shared" si="101"/>
        <v>2.6407443319142306E-2</v>
      </c>
      <c r="K161" s="3"/>
      <c r="L161" s="8">
        <f t="shared" si="102"/>
        <v>-5739.8899999999994</v>
      </c>
      <c r="M161" s="3"/>
      <c r="N161" s="7">
        <f t="shared" si="103"/>
        <v>-0.95472138733323242</v>
      </c>
      <c r="O161" s="12"/>
      <c r="P161" s="8">
        <v>272.22000000000003</v>
      </c>
      <c r="Q161" s="3"/>
      <c r="R161" s="7">
        <f t="shared" si="104"/>
        <v>1.2345677892547158E-3</v>
      </c>
      <c r="S161" s="3"/>
      <c r="T161" s="8">
        <v>6012.11</v>
      </c>
      <c r="U161" s="3"/>
      <c r="V161" s="7">
        <f t="shared" si="105"/>
        <v>2.6407443319142306E-2</v>
      </c>
      <c r="W161" s="3"/>
      <c r="X161" s="8">
        <f t="shared" si="106"/>
        <v>-5739.8899999999994</v>
      </c>
      <c r="Y161" s="3"/>
      <c r="Z161" s="7">
        <f t="shared" si="107"/>
        <v>-0.95472138733323242</v>
      </c>
    </row>
    <row r="162" spans="1:26" s="24" customFormat="1" hidden="1" outlineLevel="2" x14ac:dyDescent="0.3">
      <c r="A162" s="27"/>
      <c r="B162" s="12" t="str">
        <f>CONCATENATE("          ", "6237", " - ", "JANITORIAL SUPPLIES")</f>
        <v xml:space="preserve">          6237 - JANITORIAL SUPPLIES</v>
      </c>
      <c r="C162" s="12"/>
      <c r="D162" s="8">
        <v>655.97</v>
      </c>
      <c r="E162" s="3"/>
      <c r="F162" s="7">
        <f t="shared" si="100"/>
        <v>2.9749446503468369E-3</v>
      </c>
      <c r="G162" s="3"/>
      <c r="H162" s="8">
        <v>139.31</v>
      </c>
      <c r="I162" s="3"/>
      <c r="J162" s="7">
        <f t="shared" si="101"/>
        <v>6.1190179966596006E-4</v>
      </c>
      <c r="K162" s="3"/>
      <c r="L162" s="8">
        <f t="shared" si="102"/>
        <v>516.66000000000008</v>
      </c>
      <c r="M162" s="3"/>
      <c r="N162" s="7">
        <f t="shared" si="103"/>
        <v>3.7087071997702972</v>
      </c>
      <c r="O162" s="12"/>
      <c r="P162" s="8">
        <v>655.97</v>
      </c>
      <c r="Q162" s="3"/>
      <c r="R162" s="7">
        <f t="shared" si="104"/>
        <v>2.9749446503468369E-3</v>
      </c>
      <c r="S162" s="3"/>
      <c r="T162" s="8">
        <v>139.31</v>
      </c>
      <c r="U162" s="3"/>
      <c r="V162" s="7">
        <f t="shared" si="105"/>
        <v>6.1190179966596006E-4</v>
      </c>
      <c r="W162" s="3"/>
      <c r="X162" s="8">
        <f t="shared" si="106"/>
        <v>516.66000000000008</v>
      </c>
      <c r="Y162" s="3"/>
      <c r="Z162" s="7">
        <f t="shared" si="107"/>
        <v>3.7087071997702972</v>
      </c>
    </row>
    <row r="163" spans="1:26" s="24" customFormat="1" hidden="1" outlineLevel="2" x14ac:dyDescent="0.3">
      <c r="A163" s="27"/>
      <c r="B163" s="12" t="str">
        <f>CONCATENATE("          ", "6241", " - ", "OFFICE EXPENSE")</f>
        <v xml:space="preserve">          6241 - OFFICE EXPENSE</v>
      </c>
      <c r="C163" s="12"/>
      <c r="D163" s="8">
        <v>406.41</v>
      </c>
      <c r="E163" s="3"/>
      <c r="F163" s="7">
        <f t="shared" si="100"/>
        <v>1.8431441305966096E-3</v>
      </c>
      <c r="G163" s="3"/>
      <c r="H163" s="8">
        <v>430.41</v>
      </c>
      <c r="I163" s="3"/>
      <c r="J163" s="7">
        <f t="shared" si="101"/>
        <v>1.8905222424393502E-3</v>
      </c>
      <c r="K163" s="3"/>
      <c r="L163" s="8">
        <f t="shared" si="102"/>
        <v>-24</v>
      </c>
      <c r="M163" s="3"/>
      <c r="N163" s="7">
        <f t="shared" si="103"/>
        <v>-5.5760786227085801E-2</v>
      </c>
      <c r="O163" s="12"/>
      <c r="P163" s="8">
        <v>406.41</v>
      </c>
      <c r="Q163" s="3"/>
      <c r="R163" s="7">
        <f t="shared" si="104"/>
        <v>1.8431441305966096E-3</v>
      </c>
      <c r="S163" s="3"/>
      <c r="T163" s="8">
        <v>430.41</v>
      </c>
      <c r="U163" s="3"/>
      <c r="V163" s="7">
        <f t="shared" si="105"/>
        <v>1.8905222424393502E-3</v>
      </c>
      <c r="W163" s="3"/>
      <c r="X163" s="8">
        <f t="shared" si="106"/>
        <v>-24</v>
      </c>
      <c r="Y163" s="3"/>
      <c r="Z163" s="7">
        <f t="shared" si="107"/>
        <v>-5.5760786227085801E-2</v>
      </c>
    </row>
    <row r="164" spans="1:26" s="24" customFormat="1" hidden="1" outlineLevel="2" x14ac:dyDescent="0.3">
      <c r="A164" s="27"/>
      <c r="B164" s="12" t="str">
        <f>CONCATENATE("          ", "6243", " - ", "PAPER SUPPLIES")</f>
        <v xml:space="preserve">          6243 - PAPER SUPPLIES</v>
      </c>
      <c r="C164" s="12"/>
      <c r="D164" s="8">
        <v>1649.24</v>
      </c>
      <c r="E164" s="3"/>
      <c r="F164" s="7">
        <f t="shared" si="100"/>
        <v>7.4796068648536017E-3</v>
      </c>
      <c r="G164" s="3"/>
      <c r="H164" s="8">
        <v>1080</v>
      </c>
      <c r="I164" s="3"/>
      <c r="J164" s="7">
        <f t="shared" si="101"/>
        <v>4.7437652978195161E-3</v>
      </c>
      <c r="K164" s="3"/>
      <c r="L164" s="8">
        <f t="shared" si="102"/>
        <v>569.24</v>
      </c>
      <c r="M164" s="3"/>
      <c r="N164" s="7">
        <f t="shared" si="103"/>
        <v>0.52707407407407403</v>
      </c>
      <c r="O164" s="12"/>
      <c r="P164" s="8">
        <v>1649.24</v>
      </c>
      <c r="Q164" s="3"/>
      <c r="R164" s="7">
        <f t="shared" si="104"/>
        <v>7.4796068648536017E-3</v>
      </c>
      <c r="S164" s="3"/>
      <c r="T164" s="8">
        <v>1080</v>
      </c>
      <c r="U164" s="3"/>
      <c r="V164" s="7">
        <f t="shared" si="105"/>
        <v>4.7437652978195161E-3</v>
      </c>
      <c r="W164" s="3"/>
      <c r="X164" s="8">
        <f t="shared" si="106"/>
        <v>569.24</v>
      </c>
      <c r="Y164" s="3"/>
      <c r="Z164" s="7">
        <f t="shared" si="107"/>
        <v>0.52707407407407403</v>
      </c>
    </row>
    <row r="165" spans="1:26" s="24" customFormat="1" hidden="1" outlineLevel="2" x14ac:dyDescent="0.3">
      <c r="A165" s="27"/>
      <c r="B165" s="12" t="str">
        <f>CONCATENATE("          ", "6245", " - ", "PRINTING")</f>
        <v xml:space="preserve">          6245 - PRINTING</v>
      </c>
      <c r="C165" s="12"/>
      <c r="D165" s="8">
        <v>251.64</v>
      </c>
      <c r="E165" s="3"/>
      <c r="F165" s="7">
        <f t="shared" si="100"/>
        <v>1.1412337024761467E-3</v>
      </c>
      <c r="G165" s="3"/>
      <c r="H165" s="8">
        <v>-1543.5</v>
      </c>
      <c r="I165" s="3"/>
      <c r="J165" s="7">
        <f t="shared" si="101"/>
        <v>-6.7796312381337258E-3</v>
      </c>
      <c r="K165" s="3"/>
      <c r="L165" s="8">
        <f t="shared" si="102"/>
        <v>1795.1399999999999</v>
      </c>
      <c r="M165" s="3"/>
      <c r="N165" s="7">
        <f t="shared" si="103"/>
        <v>-1.1630320699708454</v>
      </c>
      <c r="O165" s="12"/>
      <c r="P165" s="8">
        <v>251.64</v>
      </c>
      <c r="Q165" s="3"/>
      <c r="R165" s="7">
        <f t="shared" si="104"/>
        <v>1.1412337024761467E-3</v>
      </c>
      <c r="S165" s="3"/>
      <c r="T165" s="8">
        <v>-1543.5</v>
      </c>
      <c r="U165" s="3"/>
      <c r="V165" s="7">
        <f t="shared" si="105"/>
        <v>-6.7796312381337258E-3</v>
      </c>
      <c r="W165" s="3"/>
      <c r="X165" s="8">
        <f t="shared" si="106"/>
        <v>1795.1399999999999</v>
      </c>
      <c r="Y165" s="3"/>
      <c r="Z165" s="7">
        <f t="shared" si="107"/>
        <v>-1.1630320699708454</v>
      </c>
    </row>
    <row r="166" spans="1:26" s="24" customFormat="1" hidden="1" outlineLevel="2" x14ac:dyDescent="0.3">
      <c r="A166" s="27"/>
      <c r="B166" s="12" t="str">
        <f>CONCATENATE("          ", "6247", " - ", "STORE SUPPLIES")</f>
        <v xml:space="preserve">          6247 - STORE SUPPLIES</v>
      </c>
      <c r="C166" s="12"/>
      <c r="D166" s="8">
        <v>3850.88</v>
      </c>
      <c r="E166" s="3"/>
      <c r="F166" s="7">
        <f t="shared" si="100"/>
        <v>1.746444937287929E-2</v>
      </c>
      <c r="G166" s="3"/>
      <c r="H166" s="8">
        <v>5401.59</v>
      </c>
      <c r="I166" s="3"/>
      <c r="J166" s="7">
        <f t="shared" si="101"/>
        <v>2.372581036578604E-2</v>
      </c>
      <c r="K166" s="3"/>
      <c r="L166" s="8">
        <f t="shared" si="102"/>
        <v>-1550.71</v>
      </c>
      <c r="M166" s="3"/>
      <c r="N166" s="7">
        <f t="shared" si="103"/>
        <v>-0.28708398823309433</v>
      </c>
      <c r="O166" s="12"/>
      <c r="P166" s="8">
        <v>3850.88</v>
      </c>
      <c r="Q166" s="3"/>
      <c r="R166" s="7">
        <f t="shared" si="104"/>
        <v>1.746444937287929E-2</v>
      </c>
      <c r="S166" s="3"/>
      <c r="T166" s="8">
        <v>5401.59</v>
      </c>
      <c r="U166" s="3"/>
      <c r="V166" s="7">
        <f t="shared" si="105"/>
        <v>2.372581036578604E-2</v>
      </c>
      <c r="W166" s="3"/>
      <c r="X166" s="8">
        <f t="shared" si="106"/>
        <v>-1550.71</v>
      </c>
      <c r="Y166" s="3"/>
      <c r="Z166" s="7">
        <f t="shared" si="107"/>
        <v>-0.28708398823309433</v>
      </c>
    </row>
    <row r="167" spans="1:26" s="29" customFormat="1" outlineLevel="1" collapsed="1" x14ac:dyDescent="0.3">
      <c r="A167" s="28"/>
      <c r="B167" s="14" t="str">
        <f>CONCATENATE("     ","Telephone/Data Lines                              ")</f>
        <v xml:space="preserve">     Telephone/Data Lines                              </v>
      </c>
      <c r="C167" s="14"/>
      <c r="D167" s="1">
        <f>SUM(OSRRefD22_19x_0)</f>
        <v>1568.44</v>
      </c>
      <c r="E167" s="1"/>
      <c r="F167" s="5">
        <f t="shared" ref="F167:F169" si="108">IF(D$12=0,0,D167/D$12)</f>
        <v>7.113163997423652E-3</v>
      </c>
      <c r="G167" s="1"/>
      <c r="H167" s="1">
        <f>SUM(OSRRefH22_19x_0)</f>
        <v>2373.25</v>
      </c>
      <c r="I167" s="1"/>
      <c r="J167" s="5">
        <f t="shared" ref="J167:J169" si="109">IF(H$12=0,0,H167/H$12)</f>
        <v>1.04242046231946E-2</v>
      </c>
      <c r="K167" s="1"/>
      <c r="L167" s="1">
        <f t="shared" ref="L167:L169" si="110">+D167-H167</f>
        <v>-804.81</v>
      </c>
      <c r="M167" s="1"/>
      <c r="N167" s="5">
        <f t="shared" ref="N167:N169" si="111">IF(H167=0,0,L167/H167)</f>
        <v>-0.3391172442852628</v>
      </c>
      <c r="O167" s="14"/>
      <c r="P167" s="1">
        <f>SUM(OSRRefP22_19x_0)</f>
        <v>1568.44</v>
      </c>
      <c r="Q167" s="1"/>
      <c r="R167" s="5">
        <f t="shared" ref="R167:R169" si="112">IF(P$12=0,0,P167/P$12)</f>
        <v>7.113163997423652E-3</v>
      </c>
      <c r="S167" s="1"/>
      <c r="T167" s="1">
        <f>SUM(OSRRefT22_19x_0)</f>
        <v>2373.25</v>
      </c>
      <c r="U167" s="1"/>
      <c r="V167" s="5">
        <f t="shared" ref="V167:V169" si="113">IF(T$12=0,0,T167/T$12)</f>
        <v>1.04242046231946E-2</v>
      </c>
      <c r="W167" s="1"/>
      <c r="X167" s="1">
        <f t="shared" ref="X167:X169" si="114">+P167-T167</f>
        <v>-804.81</v>
      </c>
      <c r="Y167" s="1"/>
      <c r="Z167" s="5">
        <f t="shared" ref="Z167:Z169" si="115">IF(T167=0,0,X167/T167)</f>
        <v>-0.3391172442852628</v>
      </c>
    </row>
    <row r="168" spans="1:26" s="24" customFormat="1" hidden="1" outlineLevel="2" x14ac:dyDescent="0.3">
      <c r="A168" s="27"/>
      <c r="B168" s="12" t="str">
        <f>CONCATENATE("          ", "6303", " - ", "DATA PHONE LINES")</f>
        <v xml:space="preserve">          6303 - DATA PHONE LINES</v>
      </c>
      <c r="C168" s="12"/>
      <c r="D168" s="8">
        <v>295</v>
      </c>
      <c r="E168" s="3"/>
      <c r="F168" s="7">
        <f t="shared" si="108"/>
        <v>1.3378792808395458E-3</v>
      </c>
      <c r="G168" s="3"/>
      <c r="H168" s="8">
        <v>295</v>
      </c>
      <c r="I168" s="3"/>
      <c r="J168" s="7">
        <f t="shared" si="109"/>
        <v>1.2957507063488494E-3</v>
      </c>
      <c r="K168" s="3"/>
      <c r="L168" s="8">
        <f t="shared" si="110"/>
        <v>0</v>
      </c>
      <c r="M168" s="3"/>
      <c r="N168" s="7">
        <f t="shared" si="111"/>
        <v>0</v>
      </c>
      <c r="O168" s="12"/>
      <c r="P168" s="8">
        <v>295</v>
      </c>
      <c r="Q168" s="3"/>
      <c r="R168" s="7">
        <f t="shared" si="112"/>
        <v>1.3378792808395458E-3</v>
      </c>
      <c r="S168" s="3"/>
      <c r="T168" s="8">
        <v>295</v>
      </c>
      <c r="U168" s="3"/>
      <c r="V168" s="7">
        <f t="shared" si="113"/>
        <v>1.2957507063488494E-3</v>
      </c>
      <c r="W168" s="3"/>
      <c r="X168" s="8">
        <f t="shared" si="114"/>
        <v>0</v>
      </c>
      <c r="Y168" s="3"/>
      <c r="Z168" s="7">
        <f t="shared" si="115"/>
        <v>0</v>
      </c>
    </row>
    <row r="169" spans="1:26" s="24" customFormat="1" hidden="1" outlineLevel="2" x14ac:dyDescent="0.3">
      <c r="A169" s="27"/>
      <c r="B169" s="12" t="str">
        <f>CONCATENATE("          ", "6309", " - ", "TELEPHONE")</f>
        <v xml:space="preserve">          6309 - TELEPHONE</v>
      </c>
      <c r="C169" s="12"/>
      <c r="D169" s="8">
        <v>1273.44</v>
      </c>
      <c r="E169" s="3"/>
      <c r="F169" s="7">
        <f t="shared" si="108"/>
        <v>5.7752847165841057E-3</v>
      </c>
      <c r="G169" s="3"/>
      <c r="H169" s="8">
        <v>2078.25</v>
      </c>
      <c r="I169" s="3"/>
      <c r="J169" s="7">
        <f t="shared" si="109"/>
        <v>9.1284539168457503E-3</v>
      </c>
      <c r="K169" s="3"/>
      <c r="L169" s="8">
        <f t="shared" si="110"/>
        <v>-804.81</v>
      </c>
      <c r="M169" s="3"/>
      <c r="N169" s="7">
        <f t="shared" si="111"/>
        <v>-0.38725369902562251</v>
      </c>
      <c r="O169" s="12"/>
      <c r="P169" s="8">
        <v>1273.44</v>
      </c>
      <c r="Q169" s="3"/>
      <c r="R169" s="7">
        <f t="shared" si="112"/>
        <v>5.7752847165841057E-3</v>
      </c>
      <c r="S169" s="3"/>
      <c r="T169" s="8">
        <v>2078.25</v>
      </c>
      <c r="U169" s="3"/>
      <c r="V169" s="7">
        <f t="shared" si="113"/>
        <v>9.1284539168457503E-3</v>
      </c>
      <c r="W169" s="3"/>
      <c r="X169" s="8">
        <f t="shared" si="114"/>
        <v>-804.81</v>
      </c>
      <c r="Y169" s="3"/>
      <c r="Z169" s="7">
        <f t="shared" si="115"/>
        <v>-0.38725369902562251</v>
      </c>
    </row>
    <row r="170" spans="1:26" s="29" customFormat="1" outlineLevel="1" collapsed="1" x14ac:dyDescent="0.3">
      <c r="A170" s="28"/>
      <c r="B170" s="14" t="str">
        <f>CONCATENATE("     ","Training                                          ")</f>
        <v xml:space="preserve">     Training                                          </v>
      </c>
      <c r="C170" s="14"/>
      <c r="D170" s="1">
        <f>SUM(OSRRefD22_20x_0)</f>
        <v>0</v>
      </c>
      <c r="E170" s="1"/>
      <c r="F170" s="5">
        <f t="shared" ref="F170:F175" si="116">IF(D$12=0,0,D170/D$12)</f>
        <v>0</v>
      </c>
      <c r="G170" s="1"/>
      <c r="H170" s="1">
        <f>SUM(OSRRefH22_20x_0)</f>
        <v>131.63</v>
      </c>
      <c r="I170" s="1"/>
      <c r="J170" s="5">
        <f t="shared" ref="J170:J175" si="117">IF(H$12=0,0,H170/H$12)</f>
        <v>5.7816835754813238E-4</v>
      </c>
      <c r="K170" s="1"/>
      <c r="L170" s="1">
        <f t="shared" ref="L170:L175" si="118">+D170-H170</f>
        <v>-131.63</v>
      </c>
      <c r="M170" s="1"/>
      <c r="N170" s="5">
        <f t="shared" ref="N170:N175" si="119">IF(H170=0,0,L170/H170)</f>
        <v>-1</v>
      </c>
      <c r="O170" s="14"/>
      <c r="P170" s="1">
        <f>SUM(OSRRefP22_20x_0)</f>
        <v>0</v>
      </c>
      <c r="Q170" s="1"/>
      <c r="R170" s="5">
        <f t="shared" ref="R170:R175" si="120">IF(P$12=0,0,P170/P$12)</f>
        <v>0</v>
      </c>
      <c r="S170" s="1"/>
      <c r="T170" s="1">
        <f>SUM(OSRRefT22_20x_0)</f>
        <v>131.63</v>
      </c>
      <c r="U170" s="1"/>
      <c r="V170" s="5">
        <f t="shared" ref="V170:V175" si="121">IF(T$12=0,0,T170/T$12)</f>
        <v>5.7816835754813238E-4</v>
      </c>
      <c r="W170" s="1"/>
      <c r="X170" s="1">
        <f t="shared" ref="X170:X175" si="122">+P170-T170</f>
        <v>-131.63</v>
      </c>
      <c r="Y170" s="1"/>
      <c r="Z170" s="5">
        <f t="shared" ref="Z170:Z175" si="123">IF(T170=0,0,X170/T170)</f>
        <v>-1</v>
      </c>
    </row>
    <row r="171" spans="1:26" s="24" customFormat="1" hidden="1" outlineLevel="2" x14ac:dyDescent="0.3">
      <c r="A171" s="27"/>
      <c r="B171" s="12" t="str">
        <f>CONCATENATE("          ", "6376", " - ", "TRAINING")</f>
        <v xml:space="preserve">          6376 - TRAINING</v>
      </c>
      <c r="C171" s="12"/>
      <c r="D171" s="8"/>
      <c r="E171" s="3"/>
      <c r="F171" s="7">
        <f t="shared" si="116"/>
        <v>0</v>
      </c>
      <c r="G171" s="3"/>
      <c r="H171" s="8">
        <v>131.63</v>
      </c>
      <c r="I171" s="3"/>
      <c r="J171" s="7">
        <f t="shared" si="117"/>
        <v>5.7816835754813238E-4</v>
      </c>
      <c r="K171" s="3"/>
      <c r="L171" s="8">
        <f t="shared" si="118"/>
        <v>-131.63</v>
      </c>
      <c r="M171" s="3"/>
      <c r="N171" s="7">
        <f t="shared" si="119"/>
        <v>-1</v>
      </c>
      <c r="O171" s="12"/>
      <c r="P171" s="8"/>
      <c r="Q171" s="3"/>
      <c r="R171" s="7">
        <f t="shared" si="120"/>
        <v>0</v>
      </c>
      <c r="S171" s="3"/>
      <c r="T171" s="8">
        <v>131.63</v>
      </c>
      <c r="U171" s="3"/>
      <c r="V171" s="7">
        <f t="shared" si="121"/>
        <v>5.7816835754813238E-4</v>
      </c>
      <c r="W171" s="3"/>
      <c r="X171" s="8">
        <f t="shared" si="122"/>
        <v>-131.63</v>
      </c>
      <c r="Y171" s="3"/>
      <c r="Z171" s="7">
        <f t="shared" si="123"/>
        <v>-1</v>
      </c>
    </row>
    <row r="172" spans="1:26" s="29" customFormat="1" outlineLevel="1" collapsed="1" x14ac:dyDescent="0.3">
      <c r="A172" s="28"/>
      <c r="B172" s="14" t="str">
        <f>CONCATENATE("     ","Travel                                            ")</f>
        <v xml:space="preserve">     Travel                                            </v>
      </c>
      <c r="C172" s="14"/>
      <c r="D172" s="1">
        <f>SUM(OSRRefD22_21x_0)</f>
        <v>683.14</v>
      </c>
      <c r="E172" s="1"/>
      <c r="F172" s="5">
        <f t="shared" si="116"/>
        <v>3.0981655997041604E-3</v>
      </c>
      <c r="G172" s="1"/>
      <c r="H172" s="1">
        <f>SUM(OSRRefH22_21x_0)</f>
        <v>275.20999999999998</v>
      </c>
      <c r="I172" s="1"/>
      <c r="J172" s="5">
        <f t="shared" si="117"/>
        <v>1.2088255996415824E-3</v>
      </c>
      <c r="K172" s="1"/>
      <c r="L172" s="1">
        <f t="shared" si="118"/>
        <v>407.93</v>
      </c>
      <c r="M172" s="1"/>
      <c r="N172" s="5">
        <f t="shared" si="119"/>
        <v>1.4822499182442499</v>
      </c>
      <c r="O172" s="14"/>
      <c r="P172" s="1">
        <f>SUM(OSRRefP22_21x_0)</f>
        <v>683.14</v>
      </c>
      <c r="Q172" s="1"/>
      <c r="R172" s="5">
        <f t="shared" si="120"/>
        <v>3.0981655997041604E-3</v>
      </c>
      <c r="S172" s="1"/>
      <c r="T172" s="1">
        <f>SUM(OSRRefT22_21x_0)</f>
        <v>275.20999999999998</v>
      </c>
      <c r="U172" s="1"/>
      <c r="V172" s="5">
        <f t="shared" si="121"/>
        <v>1.2088255996415824E-3</v>
      </c>
      <c r="W172" s="1"/>
      <c r="X172" s="1">
        <f t="shared" si="122"/>
        <v>407.93</v>
      </c>
      <c r="Y172" s="1"/>
      <c r="Z172" s="5">
        <f t="shared" si="123"/>
        <v>1.4822499182442499</v>
      </c>
    </row>
    <row r="173" spans="1:26" s="24" customFormat="1" hidden="1" outlineLevel="2" x14ac:dyDescent="0.3">
      <c r="A173" s="27"/>
      <c r="B173" s="12" t="str">
        <f>CONCATENATE("          ", "6292", " - ", "TRAVEL/CONFERENCE")</f>
        <v xml:space="preserve">          6292 - TRAVEL/CONFERENCE</v>
      </c>
      <c r="C173" s="12"/>
      <c r="D173" s="8">
        <v>495</v>
      </c>
      <c r="E173" s="3"/>
      <c r="F173" s="7">
        <f t="shared" si="116"/>
        <v>2.2449160814087296E-3</v>
      </c>
      <c r="G173" s="3"/>
      <c r="H173" s="8">
        <v>0.16</v>
      </c>
      <c r="I173" s="3"/>
      <c r="J173" s="7">
        <f t="shared" si="117"/>
        <v>7.0278004412140989E-7</v>
      </c>
      <c r="K173" s="3"/>
      <c r="L173" s="8">
        <f t="shared" si="118"/>
        <v>494.84</v>
      </c>
      <c r="M173" s="3"/>
      <c r="N173" s="7">
        <f t="shared" si="119"/>
        <v>3092.75</v>
      </c>
      <c r="O173" s="12"/>
      <c r="P173" s="8">
        <v>495</v>
      </c>
      <c r="Q173" s="3"/>
      <c r="R173" s="7">
        <f t="shared" si="120"/>
        <v>2.2449160814087296E-3</v>
      </c>
      <c r="S173" s="3"/>
      <c r="T173" s="8">
        <v>0.16</v>
      </c>
      <c r="U173" s="3"/>
      <c r="V173" s="7">
        <f t="shared" si="121"/>
        <v>7.0278004412140989E-7</v>
      </c>
      <c r="W173" s="3"/>
      <c r="X173" s="8">
        <f t="shared" si="122"/>
        <v>494.84</v>
      </c>
      <c r="Y173" s="3"/>
      <c r="Z173" s="7">
        <f t="shared" si="123"/>
        <v>3092.75</v>
      </c>
    </row>
    <row r="174" spans="1:26" s="24" customFormat="1" hidden="1" outlineLevel="2" x14ac:dyDescent="0.3">
      <c r="A174" s="27"/>
      <c r="B174" s="12" t="str">
        <f>CONCATENATE("          ", "6294", " - ", "TRAVEL OPERATIONAL")</f>
        <v xml:space="preserve">          6294 - TRAVEL OPERATIONAL</v>
      </c>
      <c r="C174" s="12"/>
      <c r="D174" s="8">
        <v>188.14</v>
      </c>
      <c r="E174" s="3"/>
      <c r="F174" s="7">
        <f t="shared" si="116"/>
        <v>8.5324951829543092E-4</v>
      </c>
      <c r="G174" s="3"/>
      <c r="H174" s="8">
        <v>215.16</v>
      </c>
      <c r="I174" s="3"/>
      <c r="J174" s="7">
        <f t="shared" si="117"/>
        <v>9.4506346433226589E-4</v>
      </c>
      <c r="K174" s="3"/>
      <c r="L174" s="8">
        <f t="shared" si="118"/>
        <v>-27.02000000000001</v>
      </c>
      <c r="M174" s="3"/>
      <c r="N174" s="7">
        <f t="shared" si="119"/>
        <v>-0.12558096300427593</v>
      </c>
      <c r="O174" s="12"/>
      <c r="P174" s="8">
        <v>188.14</v>
      </c>
      <c r="Q174" s="3"/>
      <c r="R174" s="7">
        <f t="shared" si="120"/>
        <v>8.5324951829543092E-4</v>
      </c>
      <c r="S174" s="3"/>
      <c r="T174" s="8">
        <v>215.16</v>
      </c>
      <c r="U174" s="3"/>
      <c r="V174" s="7">
        <f t="shared" si="121"/>
        <v>9.4506346433226589E-4</v>
      </c>
      <c r="W174" s="3"/>
      <c r="X174" s="8">
        <f t="shared" si="122"/>
        <v>-27.02000000000001</v>
      </c>
      <c r="Y174" s="3"/>
      <c r="Z174" s="7">
        <f t="shared" si="123"/>
        <v>-0.12558096300427593</v>
      </c>
    </row>
    <row r="175" spans="1:26" s="24" customFormat="1" hidden="1" outlineLevel="2" x14ac:dyDescent="0.3">
      <c r="A175" s="27"/>
      <c r="B175" s="12" t="str">
        <f>CONCATENATE("          ", "6298", " - ", "VEHICLE MILEAGE")</f>
        <v xml:space="preserve">          6298 - VEHICLE MILEAGE</v>
      </c>
      <c r="C175" s="12"/>
      <c r="D175" s="8"/>
      <c r="E175" s="3"/>
      <c r="F175" s="7">
        <f t="shared" si="116"/>
        <v>0</v>
      </c>
      <c r="G175" s="3"/>
      <c r="H175" s="8">
        <v>59.89</v>
      </c>
      <c r="I175" s="3"/>
      <c r="J175" s="7">
        <f t="shared" si="117"/>
        <v>2.630593552651952E-4</v>
      </c>
      <c r="K175" s="3"/>
      <c r="L175" s="8">
        <f t="shared" si="118"/>
        <v>-59.89</v>
      </c>
      <c r="M175" s="3"/>
      <c r="N175" s="7">
        <f t="shared" si="119"/>
        <v>-1</v>
      </c>
      <c r="O175" s="12"/>
      <c r="P175" s="8"/>
      <c r="Q175" s="3"/>
      <c r="R175" s="7">
        <f t="shared" si="120"/>
        <v>0</v>
      </c>
      <c r="S175" s="3"/>
      <c r="T175" s="8">
        <v>59.89</v>
      </c>
      <c r="U175" s="3"/>
      <c r="V175" s="7">
        <f t="shared" si="121"/>
        <v>2.630593552651952E-4</v>
      </c>
      <c r="W175" s="3"/>
      <c r="X175" s="8">
        <f t="shared" si="122"/>
        <v>-59.89</v>
      </c>
      <c r="Y175" s="3"/>
      <c r="Z175" s="7">
        <f t="shared" si="123"/>
        <v>-1</v>
      </c>
    </row>
    <row r="176" spans="1:26" s="29" customFormat="1" outlineLevel="1" collapsed="1" x14ac:dyDescent="0.3">
      <c r="A176" s="28"/>
      <c r="B176" s="14" t="str">
        <f>CONCATENATE("     ","Utilities                                         ")</f>
        <v xml:space="preserve">     Utilities                                         </v>
      </c>
      <c r="C176" s="14"/>
      <c r="D176" s="1">
        <f>SUM(OSRRefD22_22x_0)</f>
        <v>6036.49</v>
      </c>
      <c r="E176" s="1"/>
      <c r="F176" s="5">
        <f t="shared" ref="F176:F177" si="124">IF(D$12=0,0,D176/D$12)</f>
        <v>2.7376592881339354E-2</v>
      </c>
      <c r="G176" s="1"/>
      <c r="H176" s="1">
        <f>SUM(OSRRefH22_22x_0)</f>
        <v>6161.46</v>
      </c>
      <c r="I176" s="1"/>
      <c r="J176" s="5">
        <f t="shared" ref="J176:J177" si="125">IF(H$12=0,0,H176/H$12)</f>
        <v>2.7063444566576885E-2</v>
      </c>
      <c r="K176" s="1"/>
      <c r="L176" s="1">
        <f t="shared" ref="L176:L177" si="126">+D176-H176</f>
        <v>-124.97000000000025</v>
      </c>
      <c r="M176" s="1"/>
      <c r="N176" s="5">
        <f t="shared" ref="N176:N177" si="127">IF(H176=0,0,L176/H176)</f>
        <v>-2.0282530439214123E-2</v>
      </c>
      <c r="O176" s="14"/>
      <c r="P176" s="1">
        <f>SUM(OSRRefP22_22x_0)</f>
        <v>6036.49</v>
      </c>
      <c r="Q176" s="1"/>
      <c r="R176" s="5">
        <f t="shared" ref="R176:R177" si="128">IF(P$12=0,0,P176/P$12)</f>
        <v>2.7376592881339354E-2</v>
      </c>
      <c r="S176" s="1"/>
      <c r="T176" s="1">
        <f>SUM(OSRRefT22_22x_0)</f>
        <v>6161.46</v>
      </c>
      <c r="U176" s="1"/>
      <c r="V176" s="5">
        <f t="shared" ref="V176:V177" si="129">IF(T$12=0,0,T176/T$12)</f>
        <v>2.7063444566576885E-2</v>
      </c>
      <c r="W176" s="1"/>
      <c r="X176" s="1">
        <f t="shared" ref="X176:X177" si="130">+P176-T176</f>
        <v>-124.97000000000025</v>
      </c>
      <c r="Y176" s="1"/>
      <c r="Z176" s="5">
        <f t="shared" ref="Z176:Z177" si="131">IF(T176=0,0,X176/T176)</f>
        <v>-2.0282530439214123E-2</v>
      </c>
    </row>
    <row r="177" spans="1:26" s="24" customFormat="1" hidden="1" outlineLevel="2" x14ac:dyDescent="0.3">
      <c r="A177" s="27"/>
      <c r="B177" s="12" t="str">
        <f>CONCATENATE("          ", "6274", " - ", "UTILITIES")</f>
        <v xml:space="preserve">          6274 - UTILITIES</v>
      </c>
      <c r="C177" s="12"/>
      <c r="D177" s="8">
        <v>6036.49</v>
      </c>
      <c r="E177" s="3"/>
      <c r="F177" s="7">
        <f t="shared" si="124"/>
        <v>2.7376592881339354E-2</v>
      </c>
      <c r="G177" s="3"/>
      <c r="H177" s="8">
        <v>6161.46</v>
      </c>
      <c r="I177" s="3"/>
      <c r="J177" s="7">
        <f t="shared" si="125"/>
        <v>2.7063444566576885E-2</v>
      </c>
      <c r="K177" s="3"/>
      <c r="L177" s="8">
        <f t="shared" si="126"/>
        <v>-124.97000000000025</v>
      </c>
      <c r="M177" s="3"/>
      <c r="N177" s="7">
        <f t="shared" si="127"/>
        <v>-2.0282530439214123E-2</v>
      </c>
      <c r="O177" s="12"/>
      <c r="P177" s="8">
        <v>6036.49</v>
      </c>
      <c r="Q177" s="3"/>
      <c r="R177" s="7">
        <f t="shared" si="128"/>
        <v>2.7376592881339354E-2</v>
      </c>
      <c r="S177" s="3"/>
      <c r="T177" s="8">
        <v>6161.46</v>
      </c>
      <c r="U177" s="3"/>
      <c r="V177" s="7">
        <f t="shared" si="129"/>
        <v>2.7063444566576885E-2</v>
      </c>
      <c r="W177" s="3"/>
      <c r="X177" s="8">
        <f t="shared" si="130"/>
        <v>-124.97000000000025</v>
      </c>
      <c r="Y177" s="3"/>
      <c r="Z177" s="7">
        <f t="shared" si="131"/>
        <v>-2.0282530439214123E-2</v>
      </c>
    </row>
    <row r="178" spans="1:26" s="53" customFormat="1" x14ac:dyDescent="0.3">
      <c r="A178" s="37"/>
      <c r="B178" s="37"/>
      <c r="C178" s="37"/>
      <c r="D178" s="1"/>
      <c r="E178" s="1"/>
      <c r="F178" s="5"/>
      <c r="G178" s="1"/>
      <c r="H178" s="1"/>
      <c r="I178" s="1"/>
      <c r="J178" s="5"/>
      <c r="K178" s="1"/>
      <c r="L178" s="1"/>
      <c r="M178" s="1"/>
      <c r="N178" s="5"/>
      <c r="O178" s="37"/>
      <c r="P178" s="1"/>
      <c r="Q178" s="1"/>
      <c r="R178" s="5"/>
      <c r="S178" s="1"/>
      <c r="T178" s="1"/>
      <c r="U178" s="1"/>
      <c r="V178" s="5"/>
      <c r="W178" s="1"/>
      <c r="X178" s="1"/>
      <c r="Y178" s="1"/>
      <c r="Z178" s="5"/>
    </row>
    <row r="179" spans="1:26" s="23" customFormat="1" collapsed="1" x14ac:dyDescent="0.3">
      <c r="A179" s="10"/>
      <c r="B179" s="25" t="s">
        <v>292</v>
      </c>
      <c r="C179" s="10"/>
      <c r="D179" s="4">
        <f>SUM(OSRRefD25x_0)</f>
        <v>39640.85</v>
      </c>
      <c r="E179" s="4"/>
      <c r="F179" s="11">
        <f t="shared" ref="F179:F182" si="132">IF(D$12=0,0,D179/D$12)</f>
        <v>0.17977854877921459</v>
      </c>
      <c r="G179" s="4"/>
      <c r="H179" s="4">
        <f>SUM(OSRRefH25x_0)</f>
        <v>197872.55</v>
      </c>
      <c r="I179" s="4"/>
      <c r="J179" s="11">
        <f t="shared" ref="J179:J182" si="133">IF(H$12=0,0,H179/H$12)</f>
        <v>0.86913049637134909</v>
      </c>
      <c r="K179" s="4"/>
      <c r="L179" s="4">
        <f t="shared" ref="L179:L182" si="134">+D179-H179</f>
        <v>-158231.69999999998</v>
      </c>
      <c r="M179" s="4"/>
      <c r="N179" s="11">
        <f t="shared" ref="N179:N182" si="135">IF(H179=0,0,L179/H179)</f>
        <v>-0.79966473368842717</v>
      </c>
      <c r="O179" s="10"/>
      <c r="P179" s="4">
        <f>SUM(OSRRefP25x_0)</f>
        <v>39640.85</v>
      </c>
      <c r="Q179" s="4"/>
      <c r="R179" s="11">
        <f t="shared" ref="R179:R182" si="136">IF(P$12=0,0,P179/P$12)</f>
        <v>0.17977854877921459</v>
      </c>
      <c r="S179" s="4"/>
      <c r="T179" s="4">
        <f>SUM(OSRRefT25x_0)</f>
        <v>197872.55</v>
      </c>
      <c r="U179" s="4"/>
      <c r="V179" s="11">
        <f t="shared" ref="V179:V182" si="137">IF(T$12=0,0,T179/T$12)</f>
        <v>0.86913049637134909</v>
      </c>
      <c r="W179" s="4"/>
      <c r="X179" s="4">
        <f t="shared" ref="X179:X182" si="138">+P179-T179</f>
        <v>-158231.69999999998</v>
      </c>
      <c r="Y179" s="4"/>
      <c r="Z179" s="11">
        <f t="shared" ref="Z179:Z182" si="139">IF(T179=0,0,X179/T179)</f>
        <v>-0.79966473368842717</v>
      </c>
    </row>
    <row r="180" spans="1:26" s="24" customFormat="1" hidden="1" outlineLevel="1" x14ac:dyDescent="0.3">
      <c r="A180" s="50"/>
      <c r="B180" s="12" t="str">
        <f>CONCATENATE("          ", "9150", " - ", "MISC. INCOME")</f>
        <v xml:space="preserve">          9150 - MISC. INCOME</v>
      </c>
      <c r="C180" s="12"/>
      <c r="D180" s="3">
        <f>--33244.99</f>
        <v>33244.99</v>
      </c>
      <c r="E180" s="3"/>
      <c r="F180" s="22">
        <f t="shared" si="132"/>
        <v>0.15077214682277251</v>
      </c>
      <c r="G180" s="3"/>
      <c r="H180" s="3">
        <f>--35734.26</f>
        <v>35734.26</v>
      </c>
      <c r="I180" s="3"/>
      <c r="J180" s="22">
        <f t="shared" si="133"/>
        <v>0.15695828012153706</v>
      </c>
      <c r="K180" s="3"/>
      <c r="L180" s="3">
        <f t="shared" si="134"/>
        <v>-2489.2700000000041</v>
      </c>
      <c r="M180" s="3"/>
      <c r="N180" s="22">
        <f t="shared" si="135"/>
        <v>-6.9660600219509344E-2</v>
      </c>
      <c r="O180" s="12"/>
      <c r="P180" s="3">
        <f>--33244.99</f>
        <v>33244.99</v>
      </c>
      <c r="Q180" s="3"/>
      <c r="R180" s="22">
        <f t="shared" si="136"/>
        <v>0.15077214682277251</v>
      </c>
      <c r="S180" s="3"/>
      <c r="T180" s="3">
        <f>--35734.26</f>
        <v>35734.26</v>
      </c>
      <c r="U180" s="3"/>
      <c r="V180" s="22">
        <f t="shared" si="137"/>
        <v>0.15695828012153706</v>
      </c>
      <c r="W180" s="3"/>
      <c r="X180" s="3">
        <f t="shared" si="138"/>
        <v>-2489.2700000000041</v>
      </c>
      <c r="Y180" s="3"/>
      <c r="Z180" s="22">
        <f t="shared" si="139"/>
        <v>-6.9660600219509344E-2</v>
      </c>
    </row>
    <row r="181" spans="1:26" s="24" customFormat="1" hidden="1" outlineLevel="1" x14ac:dyDescent="0.3">
      <c r="A181" s="50"/>
      <c r="B181" s="12" t="str">
        <f>CONCATENATE("          ", "9152", " - ", "MISC. INCOME")</f>
        <v xml:space="preserve">          9152 - MISC. INCOME</v>
      </c>
      <c r="C181" s="12"/>
      <c r="D181" s="3">
        <f>--66.92</f>
        <v>66.92</v>
      </c>
      <c r="E181" s="3"/>
      <c r="F181" s="22">
        <f t="shared" si="132"/>
        <v>3.0349451347044885E-4</v>
      </c>
      <c r="G181" s="3"/>
      <c r="H181" s="3">
        <f>--1474.39</f>
        <v>1474.39</v>
      </c>
      <c r="I181" s="3"/>
      <c r="J181" s="22">
        <f t="shared" si="133"/>
        <v>6.4760741828260348E-3</v>
      </c>
      <c r="K181" s="3"/>
      <c r="L181" s="3">
        <f t="shared" si="134"/>
        <v>-1407.47</v>
      </c>
      <c r="M181" s="3"/>
      <c r="N181" s="22">
        <f t="shared" si="135"/>
        <v>-0.95461173773560581</v>
      </c>
      <c r="O181" s="12"/>
      <c r="P181" s="3">
        <f>--66.92</f>
        <v>66.92</v>
      </c>
      <c r="Q181" s="3"/>
      <c r="R181" s="22">
        <f t="shared" si="136"/>
        <v>3.0349451347044885E-4</v>
      </c>
      <c r="S181" s="3"/>
      <c r="T181" s="3">
        <f>--1474.39</f>
        <v>1474.39</v>
      </c>
      <c r="U181" s="3"/>
      <c r="V181" s="22">
        <f t="shared" si="137"/>
        <v>6.4760741828260348E-3</v>
      </c>
      <c r="W181" s="3"/>
      <c r="X181" s="3">
        <f t="shared" si="138"/>
        <v>-1407.47</v>
      </c>
      <c r="Y181" s="3"/>
      <c r="Z181" s="22">
        <f t="shared" si="139"/>
        <v>-0.95461173773560581</v>
      </c>
    </row>
    <row r="182" spans="1:26" s="24" customFormat="1" hidden="1" outlineLevel="1" x14ac:dyDescent="0.3">
      <c r="A182" s="50"/>
      <c r="B182" s="12" t="str">
        <f>CONCATENATE("          ", "9163", " - ", "MISC. INCOME")</f>
        <v xml:space="preserve">          9163 - MISC. INCOME</v>
      </c>
      <c r="C182" s="12"/>
      <c r="D182" s="3">
        <f>--6328.94</f>
        <v>6328.94</v>
      </c>
      <c r="E182" s="3"/>
      <c r="F182" s="22">
        <f t="shared" si="132"/>
        <v>2.8702907442971642E-2</v>
      </c>
      <c r="G182" s="3"/>
      <c r="H182" s="3">
        <f>--160663.9</f>
        <v>160663.9</v>
      </c>
      <c r="I182" s="3"/>
      <c r="J182" s="22">
        <f t="shared" si="133"/>
        <v>0.70569614206698605</v>
      </c>
      <c r="K182" s="3"/>
      <c r="L182" s="3">
        <f t="shared" si="134"/>
        <v>-154334.96</v>
      </c>
      <c r="M182" s="3"/>
      <c r="N182" s="22">
        <f t="shared" si="135"/>
        <v>-0.96060757892718895</v>
      </c>
      <c r="O182" s="12"/>
      <c r="P182" s="3">
        <f>--6328.94</f>
        <v>6328.94</v>
      </c>
      <c r="Q182" s="3"/>
      <c r="R182" s="22">
        <f t="shared" si="136"/>
        <v>2.8702907442971642E-2</v>
      </c>
      <c r="S182" s="3"/>
      <c r="T182" s="3">
        <f>--160663.9</f>
        <v>160663.9</v>
      </c>
      <c r="U182" s="3"/>
      <c r="V182" s="22">
        <f t="shared" si="137"/>
        <v>0.70569614206698605</v>
      </c>
      <c r="W182" s="3"/>
      <c r="X182" s="3">
        <f t="shared" si="138"/>
        <v>-154334.96</v>
      </c>
      <c r="Y182" s="3"/>
      <c r="Z182" s="22">
        <f t="shared" si="139"/>
        <v>-0.96060757892718895</v>
      </c>
    </row>
    <row r="183" spans="1:26" x14ac:dyDescent="0.3">
      <c r="A183" s="9"/>
      <c r="B183" s="10"/>
      <c r="C183" s="10"/>
      <c r="D183" s="2"/>
      <c r="E183" s="2"/>
      <c r="F183" s="6"/>
      <c r="G183" s="2"/>
      <c r="H183" s="2"/>
      <c r="I183" s="2"/>
      <c r="J183" s="6"/>
      <c r="K183" s="2"/>
      <c r="L183" s="2"/>
      <c r="M183" s="2"/>
      <c r="N183" s="6"/>
      <c r="O183" s="10"/>
      <c r="P183" s="2"/>
      <c r="Q183" s="2"/>
      <c r="R183" s="6"/>
      <c r="S183" s="2"/>
      <c r="T183" s="2"/>
      <c r="U183" s="2"/>
      <c r="V183" s="6"/>
      <c r="W183" s="2"/>
      <c r="X183" s="2"/>
      <c r="Y183" s="2"/>
      <c r="Z183" s="6"/>
    </row>
    <row r="184" spans="1:26" s="23" customFormat="1" x14ac:dyDescent="0.3">
      <c r="A184" s="10"/>
      <c r="B184" s="26" t="s">
        <v>276</v>
      </c>
      <c r="C184" s="26"/>
      <c r="D184" s="20">
        <f>+D94-D96+D179</f>
        <v>-230712.69999999981</v>
      </c>
      <c r="E184" s="13"/>
      <c r="F184" s="21">
        <f>IF(D$12=0,0,D184/D$12)</f>
        <v>-1.0463245462933886</v>
      </c>
      <c r="G184" s="13"/>
      <c r="H184" s="20">
        <f>+H94-H96+H179</f>
        <v>-34456.270000000019</v>
      </c>
      <c r="I184" s="13"/>
      <c r="J184" s="21">
        <f>IF(H$12=0,0,H184/H$12)</f>
        <v>-0.15134486844287015</v>
      </c>
      <c r="K184" s="16"/>
      <c r="L184" s="20">
        <f>+D184-H184</f>
        <v>-196256.42999999979</v>
      </c>
      <c r="M184" s="16"/>
      <c r="N184" s="21">
        <f>IF(H184=0,0,L184/H184)</f>
        <v>5.6958118217671174</v>
      </c>
      <c r="O184" s="25"/>
      <c r="P184" s="20">
        <f>+P94-P96+P179</f>
        <v>-230712.69999999981</v>
      </c>
      <c r="Q184" s="13"/>
      <c r="R184" s="21">
        <f>IF(P$12=0,0,P184/P$12)</f>
        <v>-1.0463245462933886</v>
      </c>
      <c r="S184" s="13"/>
      <c r="T184" s="20">
        <f>+T94-T96+T179</f>
        <v>-34456.270000000019</v>
      </c>
      <c r="U184" s="13"/>
      <c r="V184" s="21">
        <f>IF(T$12=0,0,T184/T$12)</f>
        <v>-0.15134486844287015</v>
      </c>
      <c r="W184" s="16"/>
      <c r="X184" s="20">
        <f>+P184-T184</f>
        <v>-196256.42999999979</v>
      </c>
      <c r="Y184" s="16"/>
      <c r="Z184" s="21">
        <f>IF(T184=0,0,X184/T184)</f>
        <v>5.6958118217671174</v>
      </c>
    </row>
    <row r="185" spans="1:26" x14ac:dyDescent="0.3">
      <c r="A185" s="9"/>
      <c r="B185" s="10"/>
      <c r="C185" s="9"/>
      <c r="D185" s="2"/>
      <c r="E185" s="2"/>
      <c r="F185" s="6"/>
      <c r="G185" s="2"/>
      <c r="H185" s="2"/>
      <c r="I185" s="2"/>
      <c r="J185" s="6"/>
      <c r="K185" s="2"/>
      <c r="L185" s="2"/>
      <c r="M185" s="2"/>
      <c r="N185" s="6"/>
      <c r="P185" s="2"/>
      <c r="Q185" s="2"/>
      <c r="R185" s="6"/>
      <c r="S185" s="2"/>
      <c r="T185" s="2"/>
      <c r="U185" s="2"/>
      <c r="V185" s="6"/>
      <c r="W185" s="2"/>
      <c r="X185" s="2"/>
      <c r="Y185" s="2"/>
      <c r="Z185" s="6"/>
    </row>
    <row r="186" spans="1:26" s="23" customFormat="1" x14ac:dyDescent="0.3">
      <c r="A186" s="51"/>
      <c r="B186" s="10" t="s">
        <v>127</v>
      </c>
      <c r="C186" s="10"/>
      <c r="D186" s="4">
        <v>101869.27</v>
      </c>
      <c r="E186" s="4"/>
      <c r="F186" s="11">
        <f>IF(D$12=0,0,D186/D$12)</f>
        <v>0.46199588368559164</v>
      </c>
      <c r="G186" s="4"/>
      <c r="H186" s="4">
        <v>114653.25</v>
      </c>
      <c r="I186" s="4"/>
      <c r="J186" s="11">
        <f>IF(H$12=0,0,H186/H$12)</f>
        <v>0.50360010058539395</v>
      </c>
      <c r="K186" s="4"/>
      <c r="L186" s="4">
        <f>+D186-H186</f>
        <v>-12783.979999999996</v>
      </c>
      <c r="M186" s="4"/>
      <c r="N186" s="11">
        <f>IF(H186=0,0,L186/H186)</f>
        <v>-0.1115012439682259</v>
      </c>
      <c r="O186" s="10"/>
      <c r="P186" s="4">
        <v>101869.27</v>
      </c>
      <c r="Q186" s="4"/>
      <c r="R186" s="11">
        <f>IF(P$12=0,0,P186/P$12)</f>
        <v>0.46199588368559164</v>
      </c>
      <c r="S186" s="4"/>
      <c r="T186" s="4">
        <v>114653.25</v>
      </c>
      <c r="U186" s="4"/>
      <c r="V186" s="11">
        <f>IF(T$12=0,0,T186/T$12)</f>
        <v>0.50360010058539395</v>
      </c>
      <c r="W186" s="4"/>
      <c r="X186" s="4">
        <f>+P186-T186</f>
        <v>-12783.979999999996</v>
      </c>
      <c r="Y186" s="4"/>
      <c r="Z186" s="11">
        <f>IF(T186=0,0,X186/T186)</f>
        <v>-0.1115012439682259</v>
      </c>
    </row>
    <row r="187" spans="1:26" x14ac:dyDescent="0.3">
      <c r="A187" s="9"/>
      <c r="B187" s="10"/>
      <c r="C187" s="10"/>
      <c r="D187" s="2"/>
      <c r="E187" s="2"/>
      <c r="F187" s="6"/>
      <c r="G187" s="2"/>
      <c r="H187" s="2"/>
      <c r="I187" s="2"/>
      <c r="J187" s="6"/>
      <c r="K187" s="2"/>
      <c r="L187" s="2"/>
      <c r="M187" s="2"/>
      <c r="N187" s="6"/>
      <c r="O187" s="10"/>
      <c r="P187" s="2"/>
      <c r="Q187" s="2"/>
      <c r="R187" s="6"/>
      <c r="S187" s="2"/>
      <c r="T187" s="2"/>
      <c r="U187" s="2"/>
      <c r="V187" s="6"/>
      <c r="W187" s="2"/>
      <c r="X187" s="2"/>
      <c r="Y187" s="2"/>
      <c r="Z187" s="6"/>
    </row>
    <row r="188" spans="1:26" s="23" customFormat="1" ht="15" thickBot="1" x14ac:dyDescent="0.35">
      <c r="A188" s="10"/>
      <c r="B188" s="26" t="s">
        <v>125</v>
      </c>
      <c r="C188" s="26"/>
      <c r="D188" s="36">
        <f>+D184-D186</f>
        <v>-332581.9699999998</v>
      </c>
      <c r="E188" s="13"/>
      <c r="F188" s="34">
        <f>IF(D$12=0,0,D188/D$12)</f>
        <v>-1.5083204299789801</v>
      </c>
      <c r="G188" s="13"/>
      <c r="H188" s="36">
        <f>+H184-H186</f>
        <v>-149109.52000000002</v>
      </c>
      <c r="I188" s="13"/>
      <c r="J188" s="34">
        <f>IF(H$12=0,0,H188/H$12)</f>
        <v>-0.65494496902826405</v>
      </c>
      <c r="K188" s="16"/>
      <c r="L188" s="36">
        <f>D188-H188</f>
        <v>-183472.44999999978</v>
      </c>
      <c r="M188" s="16"/>
      <c r="N188" s="34">
        <f>IF(H188=0,0,L188/H188)</f>
        <v>1.2304542996315713</v>
      </c>
      <c r="O188" s="25"/>
      <c r="P188" s="36">
        <f>+P184-P186</f>
        <v>-332581.9699999998</v>
      </c>
      <c r="Q188" s="13"/>
      <c r="R188" s="34">
        <f>IF(P$12=0,0,P188/P$12)</f>
        <v>-1.5083204299789801</v>
      </c>
      <c r="S188" s="13"/>
      <c r="T188" s="36">
        <f>+T184-T186</f>
        <v>-149109.52000000002</v>
      </c>
      <c r="U188" s="13"/>
      <c r="V188" s="34">
        <f>IF(T$12=0,0,T188/T$12)</f>
        <v>-0.65494496902826405</v>
      </c>
      <c r="W188" s="16"/>
      <c r="X188" s="36">
        <f>P188-T188</f>
        <v>-183472.44999999978</v>
      </c>
      <c r="Y188" s="16"/>
      <c r="Z188" s="34">
        <f>IF(T188=0,0,X188/T188)</f>
        <v>1.2304542996315713</v>
      </c>
    </row>
    <row r="189" spans="1:26" ht="15" thickTop="1" x14ac:dyDescent="0.3">
      <c r="A189" s="9"/>
      <c r="B189" s="9"/>
      <c r="C189" s="9"/>
      <c r="D189" s="2"/>
      <c r="E189" s="2"/>
      <c r="F189" s="6"/>
      <c r="G189" s="2"/>
      <c r="H189" s="2"/>
      <c r="I189" s="2"/>
      <c r="J189" s="6"/>
      <c r="K189" s="2"/>
      <c r="L189" s="2"/>
      <c r="M189" s="2"/>
      <c r="N189" s="6"/>
      <c r="P189" s="2"/>
      <c r="Q189" s="2"/>
      <c r="R189" s="6"/>
      <c r="S189" s="2"/>
      <c r="T189" s="2"/>
      <c r="U189" s="2"/>
      <c r="V189" s="6"/>
      <c r="W189" s="2"/>
      <c r="X189" s="2"/>
      <c r="Y189" s="2"/>
      <c r="Z189" s="6"/>
    </row>
    <row r="190" spans="1:26" x14ac:dyDescent="0.3">
      <c r="A190" s="9"/>
      <c r="B190" s="9"/>
      <c r="C190" s="9"/>
      <c r="D190" s="2"/>
      <c r="E190" s="2"/>
      <c r="F190" s="6"/>
      <c r="G190" s="2"/>
      <c r="H190" s="2"/>
      <c r="I190" s="2"/>
      <c r="J190" s="6"/>
      <c r="K190" s="2"/>
      <c r="L190" s="2"/>
      <c r="M190" s="2"/>
      <c r="N190" s="6"/>
      <c r="P190" s="2"/>
      <c r="Q190" s="2"/>
      <c r="R190" s="6"/>
      <c r="S190" s="2"/>
      <c r="T190" s="2"/>
      <c r="U190" s="2"/>
      <c r="V190" s="6"/>
      <c r="W190" s="2"/>
      <c r="X190" s="2"/>
      <c r="Y190" s="2"/>
      <c r="Z190" s="6"/>
    </row>
    <row r="191" spans="1:26" s="23" customFormat="1" ht="15" thickBot="1" x14ac:dyDescent="0.35">
      <c r="A191" s="10"/>
      <c r="B191" s="26" t="s">
        <v>293</v>
      </c>
      <c r="C191" s="26"/>
      <c r="D191" s="31">
        <f>SUM(D188:D190)</f>
        <v>-332581.9699999998</v>
      </c>
      <c r="E191" s="13"/>
      <c r="F191" s="33">
        <f>IF(D$12=0,0,D191/D$12)</f>
        <v>-1.5083204299789801</v>
      </c>
      <c r="G191" s="13"/>
      <c r="H191" s="31">
        <f>SUM(H188:H190)</f>
        <v>-149109.52000000002</v>
      </c>
      <c r="I191" s="13"/>
      <c r="J191" s="33">
        <f>IF(H$12=0,0,H191/H$12)</f>
        <v>-0.65494496902826405</v>
      </c>
      <c r="K191" s="16"/>
      <c r="L191" s="31">
        <f>+D191-H191</f>
        <v>-183472.44999999978</v>
      </c>
      <c r="M191" s="16"/>
      <c r="N191" s="33">
        <f>IF(H191=0,0,L191/H191)</f>
        <v>1.2304542996315713</v>
      </c>
      <c r="O191" s="25"/>
      <c r="P191" s="31">
        <f>SUM(P188:P190)</f>
        <v>-332581.9699999998</v>
      </c>
      <c r="Q191" s="13"/>
      <c r="R191" s="33">
        <f>IF(P$12=0,0,P191/P$12)</f>
        <v>-1.5083204299789801</v>
      </c>
      <c r="S191" s="13"/>
      <c r="T191" s="31">
        <f>SUM(T188:T190)</f>
        <v>-149109.52000000002</v>
      </c>
      <c r="U191" s="13"/>
      <c r="V191" s="33">
        <f>IF(T$12=0,0,T191/T$12)</f>
        <v>-0.65494496902826405</v>
      </c>
      <c r="W191" s="16"/>
      <c r="X191" s="31">
        <f>+P191-T191</f>
        <v>-183472.44999999978</v>
      </c>
      <c r="Y191" s="16"/>
      <c r="Z191" s="33">
        <f>IF(T191=0,0,X191/T191)</f>
        <v>1.2304542996315713</v>
      </c>
    </row>
    <row r="192" spans="1:26" ht="15" thickTop="1" x14ac:dyDescent="0.3">
      <c r="A192" s="9"/>
      <c r="C192" s="9"/>
      <c r="D192" s="18"/>
      <c r="E192" s="18"/>
      <c r="G192" s="18"/>
      <c r="H192" s="18"/>
      <c r="I192" s="18"/>
      <c r="J192" s="43"/>
      <c r="K192" s="18"/>
      <c r="L192" s="18"/>
      <c r="M192" s="18"/>
      <c r="P192" s="18"/>
      <c r="Q192" s="18"/>
      <c r="R192" s="43"/>
      <c r="S192" s="18"/>
      <c r="T192" s="18"/>
      <c r="U192" s="18"/>
      <c r="V192" s="43"/>
      <c r="W192" s="18"/>
      <c r="X192" s="18"/>
    </row>
    <row r="193" spans="1:24" x14ac:dyDescent="0.3">
      <c r="A193" s="9"/>
      <c r="B193" s="59">
        <v>44462.66688290509</v>
      </c>
      <c r="D193" s="18"/>
      <c r="E193" s="18"/>
      <c r="G193" s="18"/>
      <c r="H193" s="18"/>
      <c r="I193" s="18"/>
      <c r="J193" s="43"/>
      <c r="K193" s="18"/>
      <c r="L193" s="18"/>
      <c r="M193" s="18"/>
      <c r="P193" s="18"/>
      <c r="Q193" s="18"/>
      <c r="R193" s="43"/>
      <c r="S193" s="18"/>
      <c r="T193" s="18"/>
      <c r="U193" s="18"/>
      <c r="V193" s="43"/>
      <c r="W193" s="18"/>
      <c r="X193" s="18"/>
    </row>
    <row r="194" spans="1:24" x14ac:dyDescent="0.3">
      <c r="A194" s="9"/>
      <c r="B194" s="57" t="s">
        <v>56</v>
      </c>
      <c r="D194" s="18"/>
      <c r="E194" s="18"/>
      <c r="G194" s="18"/>
      <c r="H194" s="18"/>
      <c r="I194" s="18"/>
      <c r="J194" s="43"/>
      <c r="K194" s="18"/>
      <c r="L194" s="18"/>
      <c r="M194" s="18"/>
      <c r="P194" s="18"/>
      <c r="Q194" s="18"/>
      <c r="R194" s="43"/>
      <c r="S194" s="18"/>
      <c r="T194" s="18"/>
      <c r="U194" s="18"/>
      <c r="V194" s="43"/>
      <c r="W194" s="18"/>
      <c r="X194" s="18"/>
    </row>
    <row r="195" spans="1:24" x14ac:dyDescent="0.3">
      <c r="A195" s="9"/>
      <c r="B195" s="61"/>
      <c r="D195" s="18"/>
      <c r="E195" s="18"/>
      <c r="G195" s="18"/>
      <c r="H195" s="18"/>
      <c r="I195" s="18"/>
      <c r="J195" s="43"/>
      <c r="K195" s="18"/>
      <c r="L195" s="18"/>
      <c r="M195" s="18"/>
      <c r="P195" s="18"/>
      <c r="Q195" s="18"/>
      <c r="R195" s="43"/>
      <c r="S195" s="18"/>
      <c r="T195" s="18"/>
      <c r="U195" s="18"/>
      <c r="V195" s="43"/>
      <c r="W195" s="18"/>
      <c r="X195" s="18"/>
    </row>
    <row r="196" spans="1:24" x14ac:dyDescent="0.3">
      <c r="D196" s="18"/>
      <c r="E196" s="18"/>
      <c r="G196" s="18"/>
      <c r="H196" s="18"/>
      <c r="I196" s="18"/>
      <c r="J196" s="43"/>
      <c r="K196" s="18"/>
      <c r="L196" s="18"/>
      <c r="M196" s="18"/>
      <c r="P196" s="18"/>
      <c r="Q196" s="18"/>
      <c r="R196" s="43"/>
      <c r="S196" s="18"/>
      <c r="T196" s="18"/>
      <c r="U196" s="18"/>
      <c r="V196" s="43"/>
      <c r="W196" s="18"/>
      <c r="X196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313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315804.52</v>
      </c>
      <c r="E12" s="4"/>
      <c r="F12" s="11"/>
      <c r="G12" s="4"/>
      <c r="H12" s="4">
        <f>SUM(OSRRefH13x_0)</f>
        <v>435634.32000000007</v>
      </c>
      <c r="I12" s="4"/>
      <c r="J12" s="11"/>
      <c r="K12" s="4"/>
      <c r="L12" s="4">
        <f t="shared" ref="L12:L76" si="0">+D12-H12</f>
        <v>-119829.80000000005</v>
      </c>
      <c r="M12" s="4"/>
      <c r="N12" s="11">
        <f t="shared" ref="N12:N76" si="1">IF(H12=0,0,L12/H12)</f>
        <v>-0.27506969606985976</v>
      </c>
      <c r="O12" s="10"/>
      <c r="P12" s="4">
        <f>SUM(OSRRefP13x_0)</f>
        <v>315804.52</v>
      </c>
      <c r="Q12" s="4"/>
      <c r="R12" s="11"/>
      <c r="S12" s="4"/>
      <c r="T12" s="4">
        <f>SUM(OSRRefT13x_0)</f>
        <v>435634.32000000007</v>
      </c>
      <c r="U12" s="4"/>
      <c r="V12" s="11"/>
      <c r="W12" s="4"/>
      <c r="X12" s="4">
        <f t="shared" ref="X12:X76" si="2">+P12-T12</f>
        <v>-119829.80000000005</v>
      </c>
      <c r="Y12" s="4"/>
      <c r="Z12" s="11">
        <f t="shared" ref="Z12:Z76" si="3">IF(T12=0,0,X12/T12)</f>
        <v>-0.27506969606985976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--270004.59</f>
        <v>270004.59000000003</v>
      </c>
      <c r="E13" s="3"/>
      <c r="F13" s="22"/>
      <c r="G13" s="3"/>
      <c r="H13" s="3">
        <f>-11094.37</f>
        <v>-11094.37</v>
      </c>
      <c r="I13" s="3"/>
      <c r="J13" s="22"/>
      <c r="K13" s="3"/>
      <c r="L13" s="3">
        <f t="shared" si="0"/>
        <v>281098.96000000002</v>
      </c>
      <c r="M13" s="3"/>
      <c r="N13" s="22">
        <f t="shared" si="1"/>
        <v>-25.337081781119615</v>
      </c>
      <c r="O13" s="12"/>
      <c r="P13" s="3">
        <f>--270004.59</f>
        <v>270004.59000000003</v>
      </c>
      <c r="Q13" s="3"/>
      <c r="R13" s="22"/>
      <c r="S13" s="3"/>
      <c r="T13" s="3">
        <f>-11094.37</f>
        <v>-11094.37</v>
      </c>
      <c r="U13" s="3"/>
      <c r="V13" s="22"/>
      <c r="W13" s="3"/>
      <c r="X13" s="3">
        <f t="shared" si="2"/>
        <v>281098.96000000002</v>
      </c>
      <c r="Y13" s="3"/>
      <c r="Z13" s="22">
        <f t="shared" si="3"/>
        <v>-25.337081781119615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33" si="4">0</f>
        <v>0</v>
      </c>
      <c r="E14" s="3"/>
      <c r="F14" s="22"/>
      <c r="G14" s="3"/>
      <c r="H14" s="3">
        <f>--11947.85</f>
        <v>11947.85</v>
      </c>
      <c r="I14" s="3"/>
      <c r="J14" s="22"/>
      <c r="K14" s="3"/>
      <c r="L14" s="3">
        <f t="shared" si="0"/>
        <v>-11947.85</v>
      </c>
      <c r="M14" s="3"/>
      <c r="N14" s="22">
        <f t="shared" si="1"/>
        <v>-1</v>
      </c>
      <c r="O14" s="12"/>
      <c r="P14" s="3">
        <f t="shared" ref="P14:P33" si="5">0</f>
        <v>0</v>
      </c>
      <c r="Q14" s="3"/>
      <c r="R14" s="22"/>
      <c r="S14" s="3"/>
      <c r="T14" s="3">
        <f>--11947.85</f>
        <v>11947.85</v>
      </c>
      <c r="U14" s="3"/>
      <c r="V14" s="22"/>
      <c r="W14" s="3"/>
      <c r="X14" s="3">
        <f t="shared" si="2"/>
        <v>-11947.85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--13029.34</f>
        <v>13029.34</v>
      </c>
      <c r="I15" s="3"/>
      <c r="J15" s="22"/>
      <c r="K15" s="3"/>
      <c r="L15" s="3">
        <f t="shared" si="0"/>
        <v>-13029.34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--13029.34</f>
        <v>13029.34</v>
      </c>
      <c r="U15" s="3"/>
      <c r="V15" s="22"/>
      <c r="W15" s="3"/>
      <c r="X15" s="3">
        <f t="shared" si="2"/>
        <v>-13029.34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"4026", " - ", "TAXABLE SALES-WRITING INSTRUME")</f>
        <v xml:space="preserve">          4026 - TAXABLE SALES-WRITING INSTRUME</v>
      </c>
      <c r="C18" s="12"/>
      <c r="D18" s="3">
        <f t="shared" si="4"/>
        <v>0</v>
      </c>
      <c r="E18" s="3"/>
      <c r="F18" s="22"/>
      <c r="G18" s="3"/>
      <c r="H18" s="3">
        <f>--236.56</f>
        <v>236.56</v>
      </c>
      <c r="I18" s="3"/>
      <c r="J18" s="22"/>
      <c r="K18" s="3"/>
      <c r="L18" s="3">
        <f t="shared" si="0"/>
        <v>-236.56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--236.56</f>
        <v>236.56</v>
      </c>
      <c r="U18" s="3"/>
      <c r="V18" s="22"/>
      <c r="W18" s="3"/>
      <c r="X18" s="3">
        <f t="shared" si="2"/>
        <v>-236.56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"4027", " - ", "TAXABLE SALES-SCHOOL SUPPLIES")</f>
        <v xml:space="preserve">          4027 - TAXABLE SALES-SCHOOL SUPPLIES</v>
      </c>
      <c r="C19" s="12"/>
      <c r="D19" s="3">
        <f t="shared" si="4"/>
        <v>0</v>
      </c>
      <c r="E19" s="3"/>
      <c r="F19" s="22"/>
      <c r="G19" s="3"/>
      <c r="H19" s="3">
        <f>--1653.17</f>
        <v>1653.17</v>
      </c>
      <c r="I19" s="3"/>
      <c r="J19" s="22"/>
      <c r="K19" s="3"/>
      <c r="L19" s="3">
        <f t="shared" si="0"/>
        <v>-1653.17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--1653.17</f>
        <v>1653.17</v>
      </c>
      <c r="U19" s="3"/>
      <c r="V19" s="22"/>
      <c r="W19" s="3"/>
      <c r="X19" s="3">
        <f t="shared" si="2"/>
        <v>-1653.17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"4028", " - ", "TAXABLE SALES-ART/TECH")</f>
        <v xml:space="preserve">          4028 - TAXABLE SALES-ART/TECH</v>
      </c>
      <c r="C20" s="12"/>
      <c r="D20" s="3">
        <f t="shared" si="4"/>
        <v>0</v>
      </c>
      <c r="E20" s="3"/>
      <c r="F20" s="22"/>
      <c r="G20" s="3"/>
      <c r="H20" s="3">
        <f>--19.85</f>
        <v>19.850000000000001</v>
      </c>
      <c r="I20" s="3"/>
      <c r="J20" s="22"/>
      <c r="K20" s="3"/>
      <c r="L20" s="3">
        <f t="shared" si="0"/>
        <v>-19.850000000000001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--19.85</f>
        <v>19.850000000000001</v>
      </c>
      <c r="U20" s="3"/>
      <c r="V20" s="22"/>
      <c r="W20" s="3"/>
      <c r="X20" s="3">
        <f t="shared" si="2"/>
        <v>-19.850000000000001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"4031", " - ", "TAXABLE SALES-FOOD")</f>
        <v xml:space="preserve">          4031 - TAXABLE SALES-FOOD</v>
      </c>
      <c r="C21" s="12"/>
      <c r="D21" s="3">
        <f t="shared" si="4"/>
        <v>0</v>
      </c>
      <c r="E21" s="3"/>
      <c r="F21" s="22"/>
      <c r="G21" s="3"/>
      <c r="H21" s="3">
        <f>--19.75</f>
        <v>19.75</v>
      </c>
      <c r="I21" s="3"/>
      <c r="J21" s="22"/>
      <c r="K21" s="3"/>
      <c r="L21" s="3">
        <f t="shared" si="0"/>
        <v>-19.75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--19.75</f>
        <v>19.75</v>
      </c>
      <c r="U21" s="3"/>
      <c r="V21" s="22"/>
      <c r="W21" s="3"/>
      <c r="X21" s="3">
        <f t="shared" si="2"/>
        <v>-19.75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"4034", " - ", "TAXABLE SALES-SODA")</f>
        <v xml:space="preserve">          4034 - TAXABLE SALES-SODA</v>
      </c>
      <c r="C22" s="12"/>
      <c r="D22" s="3">
        <f t="shared" si="4"/>
        <v>0</v>
      </c>
      <c r="E22" s="3"/>
      <c r="F22" s="22"/>
      <c r="G22" s="3"/>
      <c r="H22" s="3">
        <f>--6.78</f>
        <v>6.78</v>
      </c>
      <c r="I22" s="3"/>
      <c r="J22" s="22"/>
      <c r="K22" s="3"/>
      <c r="L22" s="3">
        <f t="shared" si="0"/>
        <v>-6.78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--6.78</f>
        <v>6.78</v>
      </c>
      <c r="U22" s="3"/>
      <c r="V22" s="22"/>
      <c r="W22" s="3"/>
      <c r="X22" s="3">
        <f t="shared" si="2"/>
        <v>-6.78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"4040", " - ", "TAXABLE SALES-LOGO CLOTHING")</f>
        <v xml:space="preserve">          4040 - TAXABLE SALES-LOGO CLOTHING</v>
      </c>
      <c r="C23" s="12"/>
      <c r="D23" s="3">
        <f t="shared" si="4"/>
        <v>0</v>
      </c>
      <c r="E23" s="3"/>
      <c r="F23" s="22"/>
      <c r="G23" s="3"/>
      <c r="H23" s="3">
        <f>--72292.26</f>
        <v>72292.259999999995</v>
      </c>
      <c r="I23" s="3"/>
      <c r="J23" s="22"/>
      <c r="K23" s="3"/>
      <c r="L23" s="3">
        <f t="shared" si="0"/>
        <v>-72292.259999999995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--72292.26</f>
        <v>72292.259999999995</v>
      </c>
      <c r="U23" s="3"/>
      <c r="V23" s="22"/>
      <c r="W23" s="3"/>
      <c r="X23" s="3">
        <f t="shared" si="2"/>
        <v>-72292.259999999995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"4041", " - ", "TAXABLE SALES-LOGO GIFTS")</f>
        <v xml:space="preserve">          4041 - TAXABLE SALES-LOGO GIFTS</v>
      </c>
      <c r="C24" s="12"/>
      <c r="D24" s="3">
        <f t="shared" si="4"/>
        <v>0</v>
      </c>
      <c r="E24" s="3"/>
      <c r="F24" s="22"/>
      <c r="G24" s="3"/>
      <c r="H24" s="3">
        <f>--21188.91</f>
        <v>21188.91</v>
      </c>
      <c r="I24" s="3"/>
      <c r="J24" s="22"/>
      <c r="K24" s="3"/>
      <c r="L24" s="3">
        <f t="shared" si="0"/>
        <v>-21188.91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--21188.91</f>
        <v>21188.91</v>
      </c>
      <c r="U24" s="3"/>
      <c r="V24" s="22"/>
      <c r="W24" s="3"/>
      <c r="X24" s="3">
        <f t="shared" si="2"/>
        <v>-21188.91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"4042", " - ", "TAXABLE SALES-EVERYDAY GIFTS")</f>
        <v xml:space="preserve">          4042 - TAXABLE SALES-EVERYDAY GIFTS</v>
      </c>
      <c r="C25" s="12"/>
      <c r="D25" s="3">
        <f t="shared" si="4"/>
        <v>0</v>
      </c>
      <c r="E25" s="3"/>
      <c r="F25" s="22"/>
      <c r="G25" s="3"/>
      <c r="H25" s="3">
        <f>--9503.9</f>
        <v>9503.9</v>
      </c>
      <c r="I25" s="3"/>
      <c r="J25" s="22"/>
      <c r="K25" s="3"/>
      <c r="L25" s="3">
        <f t="shared" si="0"/>
        <v>-9503.9</v>
      </c>
      <c r="M25" s="3"/>
      <c r="N25" s="22">
        <f t="shared" si="1"/>
        <v>-1</v>
      </c>
      <c r="O25" s="12"/>
      <c r="P25" s="3">
        <f t="shared" si="5"/>
        <v>0</v>
      </c>
      <c r="Q25" s="3"/>
      <c r="R25" s="22"/>
      <c r="S25" s="3"/>
      <c r="T25" s="3">
        <f>--9503.9</f>
        <v>9503.9</v>
      </c>
      <c r="U25" s="3"/>
      <c r="V25" s="22"/>
      <c r="W25" s="3"/>
      <c r="X25" s="3">
        <f t="shared" si="2"/>
        <v>-9503.9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"4043", " - ", "TAXABLE SALES-CARDS")</f>
        <v xml:space="preserve">          4043 - TAXABLE SALES-CARDS</v>
      </c>
      <c r="C26" s="12"/>
      <c r="D26" s="3">
        <f t="shared" si="4"/>
        <v>0</v>
      </c>
      <c r="E26" s="3"/>
      <c r="F26" s="22"/>
      <c r="G26" s="3"/>
      <c r="H26" s="3">
        <f>--217.36</f>
        <v>217.36</v>
      </c>
      <c r="I26" s="3"/>
      <c r="J26" s="22"/>
      <c r="K26" s="3"/>
      <c r="L26" s="3">
        <f t="shared" si="0"/>
        <v>-217.36</v>
      </c>
      <c r="M26" s="3"/>
      <c r="N26" s="22">
        <f t="shared" si="1"/>
        <v>-1</v>
      </c>
      <c r="O26" s="12"/>
      <c r="P26" s="3">
        <f t="shared" si="5"/>
        <v>0</v>
      </c>
      <c r="Q26" s="3"/>
      <c r="R26" s="22"/>
      <c r="S26" s="3"/>
      <c r="T26" s="3">
        <f>--217.36</f>
        <v>217.36</v>
      </c>
      <c r="U26" s="3"/>
      <c r="V26" s="22"/>
      <c r="W26" s="3"/>
      <c r="X26" s="3">
        <f t="shared" si="2"/>
        <v>-217.36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"4044", " - ", "TAXABLE SALES-ACCESSORIES")</f>
        <v xml:space="preserve">          4044 - TAXABLE SALES-ACCESSORIES</v>
      </c>
      <c r="C27" s="12"/>
      <c r="D27" s="3">
        <f t="shared" si="4"/>
        <v>0</v>
      </c>
      <c r="E27" s="3"/>
      <c r="F27" s="22"/>
      <c r="G27" s="3"/>
      <c r="H27" s="3">
        <f>--1800.68</f>
        <v>1800.68</v>
      </c>
      <c r="I27" s="3"/>
      <c r="J27" s="22"/>
      <c r="K27" s="3"/>
      <c r="L27" s="3">
        <f t="shared" si="0"/>
        <v>-1800.68</v>
      </c>
      <c r="M27" s="3"/>
      <c r="N27" s="22">
        <f t="shared" si="1"/>
        <v>-1</v>
      </c>
      <c r="O27" s="12"/>
      <c r="P27" s="3">
        <f t="shared" si="5"/>
        <v>0</v>
      </c>
      <c r="Q27" s="3"/>
      <c r="R27" s="22"/>
      <c r="S27" s="3"/>
      <c r="T27" s="3">
        <f>--1800.68</f>
        <v>1800.68</v>
      </c>
      <c r="U27" s="3"/>
      <c r="V27" s="22"/>
      <c r="W27" s="3"/>
      <c r="X27" s="3">
        <f t="shared" si="2"/>
        <v>-1800.68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"4045", " - ", "TAXABLE SALES-SPECIAL ORDERS")</f>
        <v xml:space="preserve">          4045 - TAXABLE SALES-SPECIAL ORDERS</v>
      </c>
      <c r="C28" s="12"/>
      <c r="D28" s="3">
        <f t="shared" si="4"/>
        <v>0</v>
      </c>
      <c r="E28" s="3"/>
      <c r="F28" s="22"/>
      <c r="G28" s="3"/>
      <c r="H28" s="3">
        <f>--43426.73</f>
        <v>43426.73</v>
      </c>
      <c r="I28" s="3"/>
      <c r="J28" s="22"/>
      <c r="K28" s="3"/>
      <c r="L28" s="3">
        <f t="shared" si="0"/>
        <v>-43426.73</v>
      </c>
      <c r="M28" s="3"/>
      <c r="N28" s="22">
        <f t="shared" si="1"/>
        <v>-1</v>
      </c>
      <c r="O28" s="12"/>
      <c r="P28" s="3">
        <f t="shared" si="5"/>
        <v>0</v>
      </c>
      <c r="Q28" s="3"/>
      <c r="R28" s="22"/>
      <c r="S28" s="3"/>
      <c r="T28" s="3">
        <f>--43426.73</f>
        <v>43426.73</v>
      </c>
      <c r="U28" s="3"/>
      <c r="V28" s="22"/>
      <c r="W28" s="3"/>
      <c r="X28" s="3">
        <f t="shared" si="2"/>
        <v>-43426.73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"4081", " - ", "TAXABLE SALES-ELECTRONICS")</f>
        <v xml:space="preserve">          4081 - TAXABLE SALES-ELECTRONICS</v>
      </c>
      <c r="C29" s="12"/>
      <c r="D29" s="3">
        <f t="shared" si="4"/>
        <v>0</v>
      </c>
      <c r="E29" s="3"/>
      <c r="F29" s="22"/>
      <c r="G29" s="3"/>
      <c r="H29" s="3">
        <f>--21557.16</f>
        <v>21557.16</v>
      </c>
      <c r="I29" s="3"/>
      <c r="J29" s="22"/>
      <c r="K29" s="3"/>
      <c r="L29" s="3">
        <f t="shared" si="0"/>
        <v>-21557.16</v>
      </c>
      <c r="M29" s="3"/>
      <c r="N29" s="22">
        <f t="shared" si="1"/>
        <v>-1</v>
      </c>
      <c r="O29" s="12"/>
      <c r="P29" s="3">
        <f t="shared" si="5"/>
        <v>0</v>
      </c>
      <c r="Q29" s="3"/>
      <c r="R29" s="22"/>
      <c r="S29" s="3"/>
      <c r="T29" s="3">
        <f>--21557.16</f>
        <v>21557.16</v>
      </c>
      <c r="U29" s="3"/>
      <c r="V29" s="22"/>
      <c r="W29" s="3"/>
      <c r="X29" s="3">
        <f t="shared" si="2"/>
        <v>-21557.16</v>
      </c>
      <c r="Y29" s="3"/>
      <c r="Z29" s="22">
        <f t="shared" si="3"/>
        <v>-1</v>
      </c>
    </row>
    <row r="30" spans="1:26" s="24" customFormat="1" hidden="1" outlineLevel="1" x14ac:dyDescent="0.3">
      <c r="A30" s="50"/>
      <c r="B30" s="12" t="str">
        <f>CONCATENATE("          ", "4082", " - ", "TAXABLE SALES-COMPUTER HARDWAR")</f>
        <v xml:space="preserve">          4082 - TAXABLE SALES-COMPUTER HARDWAR</v>
      </c>
      <c r="C30" s="12"/>
      <c r="D30" s="3">
        <f t="shared" si="4"/>
        <v>0</v>
      </c>
      <c r="E30" s="3"/>
      <c r="F30" s="22"/>
      <c r="G30" s="3"/>
      <c r="H30" s="3">
        <f>--137228.87</f>
        <v>137228.87</v>
      </c>
      <c r="I30" s="3"/>
      <c r="J30" s="22"/>
      <c r="K30" s="3"/>
      <c r="L30" s="3">
        <f t="shared" si="0"/>
        <v>-137228.87</v>
      </c>
      <c r="M30" s="3"/>
      <c r="N30" s="22">
        <f t="shared" si="1"/>
        <v>-1</v>
      </c>
      <c r="O30" s="12"/>
      <c r="P30" s="3">
        <f t="shared" si="5"/>
        <v>0</v>
      </c>
      <c r="Q30" s="3"/>
      <c r="R30" s="22"/>
      <c r="S30" s="3"/>
      <c r="T30" s="3">
        <f>--137228.87</f>
        <v>137228.87</v>
      </c>
      <c r="U30" s="3"/>
      <c r="V30" s="22"/>
      <c r="W30" s="3"/>
      <c r="X30" s="3">
        <f t="shared" si="2"/>
        <v>-137228.87</v>
      </c>
      <c r="Y30" s="3"/>
      <c r="Z30" s="22">
        <f t="shared" si="3"/>
        <v>-1</v>
      </c>
    </row>
    <row r="31" spans="1:26" s="24" customFormat="1" hidden="1" outlineLevel="1" x14ac:dyDescent="0.3">
      <c r="A31" s="50"/>
      <c r="B31" s="12" t="str">
        <f>CONCATENATE("          ", "4083", " - ", "TAXABLE SALES-COMPUTER EQUIPME")</f>
        <v xml:space="preserve">          4083 - TAXABLE SALES-COMPUTER EQUIPME</v>
      </c>
      <c r="C31" s="12"/>
      <c r="D31" s="3">
        <f t="shared" si="4"/>
        <v>0</v>
      </c>
      <c r="E31" s="3"/>
      <c r="F31" s="22"/>
      <c r="G31" s="3"/>
      <c r="H31" s="3">
        <f>--6790.15</f>
        <v>6790.15</v>
      </c>
      <c r="I31" s="3"/>
      <c r="J31" s="22"/>
      <c r="K31" s="3"/>
      <c r="L31" s="3">
        <f t="shared" si="0"/>
        <v>-6790.15</v>
      </c>
      <c r="M31" s="3"/>
      <c r="N31" s="22">
        <f t="shared" si="1"/>
        <v>-1</v>
      </c>
      <c r="O31" s="12"/>
      <c r="P31" s="3">
        <f t="shared" si="5"/>
        <v>0</v>
      </c>
      <c r="Q31" s="3"/>
      <c r="R31" s="22"/>
      <c r="S31" s="3"/>
      <c r="T31" s="3">
        <f>--6790.15</f>
        <v>6790.15</v>
      </c>
      <c r="U31" s="3"/>
      <c r="V31" s="22"/>
      <c r="W31" s="3"/>
      <c r="X31" s="3">
        <f t="shared" si="2"/>
        <v>-6790.15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"4085", " - ", "TAXABLE SALES-SOFTWARE")</f>
        <v xml:space="preserve">          4085 - TAXABLE SALES-SOFTWARE</v>
      </c>
      <c r="C32" s="12"/>
      <c r="D32" s="3">
        <f t="shared" si="4"/>
        <v>0</v>
      </c>
      <c r="E32" s="3"/>
      <c r="F32" s="22"/>
      <c r="G32" s="3"/>
      <c r="H32" s="3">
        <f>0</f>
        <v>0</v>
      </c>
      <c r="I32" s="3"/>
      <c r="J32" s="22"/>
      <c r="K32" s="3"/>
      <c r="L32" s="3">
        <f t="shared" si="0"/>
        <v>0</v>
      </c>
      <c r="M32" s="3"/>
      <c r="N32" s="22">
        <f t="shared" si="1"/>
        <v>0</v>
      </c>
      <c r="O32" s="12"/>
      <c r="P32" s="3">
        <f t="shared" si="5"/>
        <v>0</v>
      </c>
      <c r="Q32" s="3"/>
      <c r="R32" s="22"/>
      <c r="S32" s="3"/>
      <c r="T32" s="3">
        <f>0</f>
        <v>0</v>
      </c>
      <c r="U32" s="3"/>
      <c r="V32" s="22"/>
      <c r="W32" s="3"/>
      <c r="X32" s="3">
        <f t="shared" si="2"/>
        <v>0</v>
      </c>
      <c r="Y32" s="3"/>
      <c r="Z32" s="22">
        <f t="shared" si="3"/>
        <v>0</v>
      </c>
    </row>
    <row r="33" spans="1:26" s="24" customFormat="1" hidden="1" outlineLevel="1" x14ac:dyDescent="0.3">
      <c r="A33" s="50"/>
      <c r="B33" s="12" t="str">
        <f>CONCATENATE("          ", "4086", " - ", "TAXABLE SALES-COMPUTER SUPPLIE")</f>
        <v xml:space="preserve">          4086 - TAXABLE SALES-COMPUTER SUPPLIE</v>
      </c>
      <c r="C33" s="12"/>
      <c r="D33" s="3">
        <f t="shared" si="4"/>
        <v>0</v>
      </c>
      <c r="E33" s="3"/>
      <c r="F33" s="22"/>
      <c r="G33" s="3"/>
      <c r="H33" s="3">
        <f>--25959.21</f>
        <v>25959.21</v>
      </c>
      <c r="I33" s="3"/>
      <c r="J33" s="22"/>
      <c r="K33" s="3"/>
      <c r="L33" s="3">
        <f t="shared" si="0"/>
        <v>-25959.21</v>
      </c>
      <c r="M33" s="3"/>
      <c r="N33" s="22">
        <f t="shared" si="1"/>
        <v>-1</v>
      </c>
      <c r="O33" s="12"/>
      <c r="P33" s="3">
        <f t="shared" si="5"/>
        <v>0</v>
      </c>
      <c r="Q33" s="3"/>
      <c r="R33" s="22"/>
      <c r="S33" s="3"/>
      <c r="T33" s="3">
        <f>--25959.21</f>
        <v>25959.21</v>
      </c>
      <c r="U33" s="3"/>
      <c r="V33" s="22"/>
      <c r="W33" s="3"/>
      <c r="X33" s="3">
        <f t="shared" si="2"/>
        <v>-25959.21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"4100", " - ", "NON-TAXABLE SALES")</f>
        <v xml:space="preserve">          4100 - NON-TAXABLE SALES</v>
      </c>
      <c r="C34" s="12"/>
      <c r="D34" s="3">
        <f>--80066.52</f>
        <v>80066.52</v>
      </c>
      <c r="E34" s="3"/>
      <c r="F34" s="22"/>
      <c r="G34" s="3"/>
      <c r="H34" s="3">
        <f>--3038.3</f>
        <v>3038.3</v>
      </c>
      <c r="I34" s="3"/>
      <c r="J34" s="22"/>
      <c r="K34" s="3"/>
      <c r="L34" s="3">
        <f t="shared" si="0"/>
        <v>77028.22</v>
      </c>
      <c r="M34" s="3"/>
      <c r="N34" s="22">
        <f t="shared" si="1"/>
        <v>25.352407596353224</v>
      </c>
      <c r="O34" s="12"/>
      <c r="P34" s="3">
        <f>--80066.52</f>
        <v>80066.52</v>
      </c>
      <c r="Q34" s="3"/>
      <c r="R34" s="22"/>
      <c r="S34" s="3"/>
      <c r="T34" s="3">
        <f>--3038.3</f>
        <v>3038.3</v>
      </c>
      <c r="U34" s="3"/>
      <c r="V34" s="22"/>
      <c r="W34" s="3"/>
      <c r="X34" s="3">
        <f t="shared" si="2"/>
        <v>77028.22</v>
      </c>
      <c r="Y34" s="3"/>
      <c r="Z34" s="22">
        <f t="shared" si="3"/>
        <v>25.352407596353224</v>
      </c>
    </row>
    <row r="35" spans="1:26" s="24" customFormat="1" hidden="1" outlineLevel="1" x14ac:dyDescent="0.3">
      <c r="A35" s="50"/>
      <c r="B35" s="12" t="str">
        <f>CONCATENATE("          ", "4101", " - ", "NON-TAXABLE SALES-NEW TEXT")</f>
        <v xml:space="preserve">          4101 - NON-TAXABLE SALES-NEW TEXT</v>
      </c>
      <c r="C35" s="12"/>
      <c r="D35" s="3">
        <f t="shared" ref="D35:D50" si="6">0</f>
        <v>0</v>
      </c>
      <c r="E35" s="3"/>
      <c r="F35" s="22"/>
      <c r="G35" s="3"/>
      <c r="H35" s="3">
        <f>--10341.86</f>
        <v>10341.86</v>
      </c>
      <c r="I35" s="3"/>
      <c r="J35" s="22"/>
      <c r="K35" s="3"/>
      <c r="L35" s="3">
        <f t="shared" si="0"/>
        <v>-10341.86</v>
      </c>
      <c r="M35" s="3"/>
      <c r="N35" s="22">
        <f t="shared" si="1"/>
        <v>-1</v>
      </c>
      <c r="O35" s="12"/>
      <c r="P35" s="3">
        <f t="shared" ref="P35:P50" si="7">0</f>
        <v>0</v>
      </c>
      <c r="Q35" s="3"/>
      <c r="R35" s="22"/>
      <c r="S35" s="3"/>
      <c r="T35" s="3">
        <f>--10341.86</f>
        <v>10341.86</v>
      </c>
      <c r="U35" s="3"/>
      <c r="V35" s="22"/>
      <c r="W35" s="3"/>
      <c r="X35" s="3">
        <f t="shared" si="2"/>
        <v>-10341.86</v>
      </c>
      <c r="Y35" s="3"/>
      <c r="Z35" s="22">
        <f t="shared" si="3"/>
        <v>-1</v>
      </c>
    </row>
    <row r="36" spans="1:26" s="24" customFormat="1" hidden="1" outlineLevel="1" x14ac:dyDescent="0.3">
      <c r="A36" s="50"/>
      <c r="B36" s="12" t="str">
        <f>CONCATENATE("          ", "4102", " - ", "NON-TAXABLE SALES-USED TEXT")</f>
        <v xml:space="preserve">          4102 - NON-TAXABLE SALES-USED TEXT</v>
      </c>
      <c r="C36" s="12"/>
      <c r="D36" s="3">
        <f t="shared" si="6"/>
        <v>0</v>
      </c>
      <c r="E36" s="3"/>
      <c r="F36" s="22"/>
      <c r="G36" s="3"/>
      <c r="H36" s="3">
        <f>--4190.44</f>
        <v>4190.4399999999996</v>
      </c>
      <c r="I36" s="3"/>
      <c r="J36" s="22"/>
      <c r="K36" s="3"/>
      <c r="L36" s="3">
        <f t="shared" si="0"/>
        <v>-4190.4399999999996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--4190.44</f>
        <v>4190.4399999999996</v>
      </c>
      <c r="U36" s="3"/>
      <c r="V36" s="22"/>
      <c r="W36" s="3"/>
      <c r="X36" s="3">
        <f t="shared" si="2"/>
        <v>-4190.4399999999996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"4104", " - ", "NON-TAXABLE SALES-DIGITAL TEXT")</f>
        <v xml:space="preserve">          4104 - NON-TAXABLE SALES-DIGITAL TEXT</v>
      </c>
      <c r="C37" s="12"/>
      <c r="D37" s="3">
        <f t="shared" si="6"/>
        <v>0</v>
      </c>
      <c r="E37" s="3"/>
      <c r="F37" s="22"/>
      <c r="G37" s="3"/>
      <c r="H37" s="3">
        <f>--7485.52</f>
        <v>7485.52</v>
      </c>
      <c r="I37" s="3"/>
      <c r="J37" s="22"/>
      <c r="K37" s="3"/>
      <c r="L37" s="3">
        <f t="shared" si="0"/>
        <v>-7485.52</v>
      </c>
      <c r="M37" s="3"/>
      <c r="N37" s="22">
        <f t="shared" si="1"/>
        <v>-1</v>
      </c>
      <c r="O37" s="12"/>
      <c r="P37" s="3">
        <f t="shared" si="7"/>
        <v>0</v>
      </c>
      <c r="Q37" s="3"/>
      <c r="R37" s="22"/>
      <c r="S37" s="3"/>
      <c r="T37" s="3">
        <f>--7485.52</f>
        <v>7485.52</v>
      </c>
      <c r="U37" s="3"/>
      <c r="V37" s="22"/>
      <c r="W37" s="3"/>
      <c r="X37" s="3">
        <f t="shared" si="2"/>
        <v>-7485.52</v>
      </c>
      <c r="Y37" s="3"/>
      <c r="Z37" s="22">
        <f t="shared" si="3"/>
        <v>-1</v>
      </c>
    </row>
    <row r="38" spans="1:26" s="24" customFormat="1" hidden="1" outlineLevel="1" x14ac:dyDescent="0.3">
      <c r="A38" s="50"/>
      <c r="B38" s="12" t="str">
        <f>CONCATENATE("          ", "4118", " - ", "NON-TAXABLE SALES-STUDY GUIDES")</f>
        <v xml:space="preserve">          4118 - NON-TAXABLE SALES-STUDY GUIDES</v>
      </c>
      <c r="C38" s="12"/>
      <c r="D38" s="3">
        <f t="shared" si="6"/>
        <v>0</v>
      </c>
      <c r="E38" s="3"/>
      <c r="F38" s="22"/>
      <c r="G38" s="3"/>
      <c r="H38" s="3">
        <f>--53.96</f>
        <v>53.96</v>
      </c>
      <c r="I38" s="3"/>
      <c r="J38" s="22"/>
      <c r="K38" s="3"/>
      <c r="L38" s="3">
        <f t="shared" si="0"/>
        <v>-53.96</v>
      </c>
      <c r="M38" s="3"/>
      <c r="N38" s="22">
        <f t="shared" si="1"/>
        <v>-1</v>
      </c>
      <c r="O38" s="12"/>
      <c r="P38" s="3">
        <f t="shared" si="7"/>
        <v>0</v>
      </c>
      <c r="Q38" s="3"/>
      <c r="R38" s="22"/>
      <c r="S38" s="3"/>
      <c r="T38" s="3">
        <f>--53.96</f>
        <v>53.96</v>
      </c>
      <c r="U38" s="3"/>
      <c r="V38" s="22"/>
      <c r="W38" s="3"/>
      <c r="X38" s="3">
        <f t="shared" si="2"/>
        <v>-53.96</v>
      </c>
      <c r="Y38" s="3"/>
      <c r="Z38" s="22">
        <f t="shared" si="3"/>
        <v>-1</v>
      </c>
    </row>
    <row r="39" spans="1:26" s="24" customFormat="1" hidden="1" outlineLevel="1" x14ac:dyDescent="0.3">
      <c r="A39" s="50"/>
      <c r="B39" s="12" t="str">
        <f>CONCATENATE("          ", "4126", " - ", "NON-TAXABLE SALES-WRITING INST")</f>
        <v xml:space="preserve">          4126 - NON-TAXABLE SALES-WRITING INST</v>
      </c>
      <c r="C39" s="12"/>
      <c r="D39" s="3">
        <f t="shared" si="6"/>
        <v>0</v>
      </c>
      <c r="E39" s="3"/>
      <c r="F39" s="22"/>
      <c r="G39" s="3"/>
      <c r="H39" s="3">
        <f>--52.68</f>
        <v>52.68</v>
      </c>
      <c r="I39" s="3"/>
      <c r="J39" s="22"/>
      <c r="K39" s="3"/>
      <c r="L39" s="3">
        <f t="shared" si="0"/>
        <v>-52.68</v>
      </c>
      <c r="M39" s="3"/>
      <c r="N39" s="22">
        <f t="shared" si="1"/>
        <v>-1</v>
      </c>
      <c r="O39" s="12"/>
      <c r="P39" s="3">
        <f t="shared" si="7"/>
        <v>0</v>
      </c>
      <c r="Q39" s="3"/>
      <c r="R39" s="22"/>
      <c r="S39" s="3"/>
      <c r="T39" s="3">
        <f>--52.68</f>
        <v>52.68</v>
      </c>
      <c r="U39" s="3"/>
      <c r="V39" s="22"/>
      <c r="W39" s="3"/>
      <c r="X39" s="3">
        <f t="shared" si="2"/>
        <v>-52.68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"4127", " - ", "NON-TAXABLE SALES-SCHOOL SUPPL")</f>
        <v xml:space="preserve">          4127 - NON-TAXABLE SALES-SCHOOL SUPPL</v>
      </c>
      <c r="C40" s="12"/>
      <c r="D40" s="3">
        <f t="shared" si="6"/>
        <v>0</v>
      </c>
      <c r="E40" s="3"/>
      <c r="F40" s="22"/>
      <c r="G40" s="3"/>
      <c r="H40" s="3">
        <f>--72.25</f>
        <v>72.25</v>
      </c>
      <c r="I40" s="3"/>
      <c r="J40" s="22"/>
      <c r="K40" s="3"/>
      <c r="L40" s="3">
        <f t="shared" si="0"/>
        <v>-72.25</v>
      </c>
      <c r="M40" s="3"/>
      <c r="N40" s="22">
        <f t="shared" si="1"/>
        <v>-1</v>
      </c>
      <c r="O40" s="12"/>
      <c r="P40" s="3">
        <f t="shared" si="7"/>
        <v>0</v>
      </c>
      <c r="Q40" s="3"/>
      <c r="R40" s="22"/>
      <c r="S40" s="3"/>
      <c r="T40" s="3">
        <f>--72.25</f>
        <v>72.25</v>
      </c>
      <c r="U40" s="3"/>
      <c r="V40" s="22"/>
      <c r="W40" s="3"/>
      <c r="X40" s="3">
        <f t="shared" si="2"/>
        <v>-72.25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"4131", " - ", "NON-TAXABLE SALES-FOOD")</f>
        <v xml:space="preserve">          4131 - NON-TAXABLE SALES-FOOD</v>
      </c>
      <c r="C41" s="12"/>
      <c r="D41" s="3">
        <f t="shared" si="6"/>
        <v>0</v>
      </c>
      <c r="E41" s="3"/>
      <c r="F41" s="22"/>
      <c r="G41" s="3"/>
      <c r="H41" s="3">
        <f>--259.43</f>
        <v>259.43</v>
      </c>
      <c r="I41" s="3"/>
      <c r="J41" s="22"/>
      <c r="K41" s="3"/>
      <c r="L41" s="3">
        <f t="shared" si="0"/>
        <v>-259.43</v>
      </c>
      <c r="M41" s="3"/>
      <c r="N41" s="22">
        <f t="shared" si="1"/>
        <v>-1</v>
      </c>
      <c r="O41" s="12"/>
      <c r="P41" s="3">
        <f t="shared" si="7"/>
        <v>0</v>
      </c>
      <c r="Q41" s="3"/>
      <c r="R41" s="22"/>
      <c r="S41" s="3"/>
      <c r="T41" s="3">
        <f>--259.43</f>
        <v>259.43</v>
      </c>
      <c r="U41" s="3"/>
      <c r="V41" s="22"/>
      <c r="W41" s="3"/>
      <c r="X41" s="3">
        <f t="shared" si="2"/>
        <v>-259.43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"4132", " - ", "NON-TAXABLE SALES-JUICE")</f>
        <v xml:space="preserve">          4132 - NON-TAXABLE SALES-JUICE</v>
      </c>
      <c r="C42" s="12"/>
      <c r="D42" s="3">
        <f t="shared" si="6"/>
        <v>0</v>
      </c>
      <c r="E42" s="3"/>
      <c r="F42" s="22"/>
      <c r="G42" s="3"/>
      <c r="H42" s="3">
        <f>--22.49</f>
        <v>22.49</v>
      </c>
      <c r="I42" s="3"/>
      <c r="J42" s="22"/>
      <c r="K42" s="3"/>
      <c r="L42" s="3">
        <f t="shared" si="0"/>
        <v>-22.49</v>
      </c>
      <c r="M42" s="3"/>
      <c r="N42" s="22">
        <f t="shared" si="1"/>
        <v>-1</v>
      </c>
      <c r="O42" s="12"/>
      <c r="P42" s="3">
        <f t="shared" si="7"/>
        <v>0</v>
      </c>
      <c r="Q42" s="3"/>
      <c r="R42" s="22"/>
      <c r="S42" s="3"/>
      <c r="T42" s="3">
        <f>--22.49</f>
        <v>22.49</v>
      </c>
      <c r="U42" s="3"/>
      <c r="V42" s="22"/>
      <c r="W42" s="3"/>
      <c r="X42" s="3">
        <f t="shared" si="2"/>
        <v>-22.49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"4133", " - ", "NON-TAXABLE SALES-CANDY")</f>
        <v xml:space="preserve">          4133 - NON-TAXABLE SALES-CANDY</v>
      </c>
      <c r="C43" s="12"/>
      <c r="D43" s="3">
        <f t="shared" si="6"/>
        <v>0</v>
      </c>
      <c r="E43" s="3"/>
      <c r="F43" s="22"/>
      <c r="G43" s="3"/>
      <c r="H43" s="3">
        <f>--68.28</f>
        <v>68.28</v>
      </c>
      <c r="I43" s="3"/>
      <c r="J43" s="22"/>
      <c r="K43" s="3"/>
      <c r="L43" s="3">
        <f t="shared" si="0"/>
        <v>-68.28</v>
      </c>
      <c r="M43" s="3"/>
      <c r="N43" s="22">
        <f t="shared" si="1"/>
        <v>-1</v>
      </c>
      <c r="O43" s="12"/>
      <c r="P43" s="3">
        <f t="shared" si="7"/>
        <v>0</v>
      </c>
      <c r="Q43" s="3"/>
      <c r="R43" s="22"/>
      <c r="S43" s="3"/>
      <c r="T43" s="3">
        <f>--68.28</f>
        <v>68.28</v>
      </c>
      <c r="U43" s="3"/>
      <c r="V43" s="22"/>
      <c r="W43" s="3"/>
      <c r="X43" s="3">
        <f t="shared" si="2"/>
        <v>-68.28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"4134", " - ", "NON-TAXABLE SALES-SODA")</f>
        <v xml:space="preserve">          4134 - NON-TAXABLE SALES-SODA</v>
      </c>
      <c r="C44" s="12"/>
      <c r="D44" s="3">
        <f t="shared" si="6"/>
        <v>0</v>
      </c>
      <c r="E44" s="3"/>
      <c r="F44" s="22"/>
      <c r="G44" s="3"/>
      <c r="H44" s="3">
        <f>--45.53</f>
        <v>45.53</v>
      </c>
      <c r="I44" s="3"/>
      <c r="J44" s="22"/>
      <c r="K44" s="3"/>
      <c r="L44" s="3">
        <f t="shared" si="0"/>
        <v>-45.53</v>
      </c>
      <c r="M44" s="3"/>
      <c r="N44" s="22">
        <f t="shared" si="1"/>
        <v>-1</v>
      </c>
      <c r="O44" s="12"/>
      <c r="P44" s="3">
        <f t="shared" si="7"/>
        <v>0</v>
      </c>
      <c r="Q44" s="3"/>
      <c r="R44" s="22"/>
      <c r="S44" s="3"/>
      <c r="T44" s="3">
        <f>--45.53</f>
        <v>45.53</v>
      </c>
      <c r="U44" s="3"/>
      <c r="V44" s="22"/>
      <c r="W44" s="3"/>
      <c r="X44" s="3">
        <f t="shared" si="2"/>
        <v>-45.53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"4137", " - ", "NON-TAXABLE SALES-WATER")</f>
        <v xml:space="preserve">          4137 - NON-TAXABLE SALES-WATER</v>
      </c>
      <c r="C45" s="12"/>
      <c r="D45" s="3">
        <f t="shared" si="6"/>
        <v>0</v>
      </c>
      <c r="E45" s="3"/>
      <c r="F45" s="22"/>
      <c r="G45" s="3"/>
      <c r="H45" s="3">
        <f>--68.25</f>
        <v>68.25</v>
      </c>
      <c r="I45" s="3"/>
      <c r="J45" s="22"/>
      <c r="K45" s="3"/>
      <c r="L45" s="3">
        <f t="shared" si="0"/>
        <v>-68.25</v>
      </c>
      <c r="M45" s="3"/>
      <c r="N45" s="22">
        <f t="shared" si="1"/>
        <v>-1</v>
      </c>
      <c r="O45" s="12"/>
      <c r="P45" s="3">
        <f t="shared" si="7"/>
        <v>0</v>
      </c>
      <c r="Q45" s="3"/>
      <c r="R45" s="22"/>
      <c r="S45" s="3"/>
      <c r="T45" s="3">
        <f>--68.25</f>
        <v>68.25</v>
      </c>
      <c r="U45" s="3"/>
      <c r="V45" s="22"/>
      <c r="W45" s="3"/>
      <c r="X45" s="3">
        <f t="shared" si="2"/>
        <v>-68.25</v>
      </c>
      <c r="Y45" s="3"/>
      <c r="Z45" s="22">
        <f t="shared" si="3"/>
        <v>-1</v>
      </c>
    </row>
    <row r="46" spans="1:26" s="24" customFormat="1" hidden="1" outlineLevel="1" x14ac:dyDescent="0.3">
      <c r="A46" s="50"/>
      <c r="B46" s="12" t="str">
        <f>CONCATENATE("          ", "4140", " - ", "NON-TAXABLE SALES-LOGO CLOTHIN")</f>
        <v xml:space="preserve">          4140 - NON-TAXABLE SALES-LOGO CLOTHIN</v>
      </c>
      <c r="C46" s="12"/>
      <c r="D46" s="3">
        <f t="shared" si="6"/>
        <v>0</v>
      </c>
      <c r="E46" s="3"/>
      <c r="F46" s="22"/>
      <c r="G46" s="3"/>
      <c r="H46" s="3">
        <f>--6846.24</f>
        <v>6846.24</v>
      </c>
      <c r="I46" s="3"/>
      <c r="J46" s="22"/>
      <c r="K46" s="3"/>
      <c r="L46" s="3">
        <f t="shared" si="0"/>
        <v>-6846.24</v>
      </c>
      <c r="M46" s="3"/>
      <c r="N46" s="22">
        <f t="shared" si="1"/>
        <v>-1</v>
      </c>
      <c r="O46" s="12"/>
      <c r="P46" s="3">
        <f t="shared" si="7"/>
        <v>0</v>
      </c>
      <c r="Q46" s="3"/>
      <c r="R46" s="22"/>
      <c r="S46" s="3"/>
      <c r="T46" s="3">
        <f>--6846.24</f>
        <v>6846.24</v>
      </c>
      <c r="U46" s="3"/>
      <c r="V46" s="22"/>
      <c r="W46" s="3"/>
      <c r="X46" s="3">
        <f t="shared" si="2"/>
        <v>-6846.24</v>
      </c>
      <c r="Y46" s="3"/>
      <c r="Z46" s="22">
        <f t="shared" si="3"/>
        <v>-1</v>
      </c>
    </row>
    <row r="47" spans="1:26" s="24" customFormat="1" hidden="1" outlineLevel="1" x14ac:dyDescent="0.3">
      <c r="A47" s="50"/>
      <c r="B47" s="12" t="str">
        <f>CONCATENATE("          ", "4141", " - ", "NON-TAXABLE SALES-LOGO GIFTS")</f>
        <v xml:space="preserve">          4141 - NON-TAXABLE SALES-LOGO GIFTS</v>
      </c>
      <c r="C47" s="12"/>
      <c r="D47" s="3">
        <f t="shared" si="6"/>
        <v>0</v>
      </c>
      <c r="E47" s="3"/>
      <c r="F47" s="22"/>
      <c r="G47" s="3"/>
      <c r="H47" s="3">
        <f>--1200.19</f>
        <v>1200.19</v>
      </c>
      <c r="I47" s="3"/>
      <c r="J47" s="22"/>
      <c r="K47" s="3"/>
      <c r="L47" s="3">
        <f t="shared" si="0"/>
        <v>-1200.19</v>
      </c>
      <c r="M47" s="3"/>
      <c r="N47" s="22">
        <f t="shared" si="1"/>
        <v>-1</v>
      </c>
      <c r="O47" s="12"/>
      <c r="P47" s="3">
        <f t="shared" si="7"/>
        <v>0</v>
      </c>
      <c r="Q47" s="3"/>
      <c r="R47" s="22"/>
      <c r="S47" s="3"/>
      <c r="T47" s="3">
        <f>--1200.19</f>
        <v>1200.19</v>
      </c>
      <c r="U47" s="3"/>
      <c r="V47" s="22"/>
      <c r="W47" s="3"/>
      <c r="X47" s="3">
        <f t="shared" si="2"/>
        <v>-1200.19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"4142", " - ", "NON-TAXABLE SALES-EVERYDAY GIF")</f>
        <v xml:space="preserve">          4142 - NON-TAXABLE SALES-EVERYDAY GIF</v>
      </c>
      <c r="C48" s="12"/>
      <c r="D48" s="3">
        <f t="shared" si="6"/>
        <v>0</v>
      </c>
      <c r="E48" s="3"/>
      <c r="F48" s="22"/>
      <c r="G48" s="3"/>
      <c r="H48" s="3">
        <f>--640.17</f>
        <v>640.16999999999996</v>
      </c>
      <c r="I48" s="3"/>
      <c r="J48" s="22"/>
      <c r="K48" s="3"/>
      <c r="L48" s="3">
        <f t="shared" si="0"/>
        <v>-640.16999999999996</v>
      </c>
      <c r="M48" s="3"/>
      <c r="N48" s="22">
        <f t="shared" si="1"/>
        <v>-1</v>
      </c>
      <c r="O48" s="12"/>
      <c r="P48" s="3">
        <f t="shared" si="7"/>
        <v>0</v>
      </c>
      <c r="Q48" s="3"/>
      <c r="R48" s="22"/>
      <c r="S48" s="3"/>
      <c r="T48" s="3">
        <f>--640.17</f>
        <v>640.16999999999996</v>
      </c>
      <c r="U48" s="3"/>
      <c r="V48" s="22"/>
      <c r="W48" s="3"/>
      <c r="X48" s="3">
        <f t="shared" si="2"/>
        <v>-640.16999999999996</v>
      </c>
      <c r="Y48" s="3"/>
      <c r="Z48" s="22">
        <f t="shared" si="3"/>
        <v>-1</v>
      </c>
    </row>
    <row r="49" spans="1:26" s="24" customFormat="1" hidden="1" outlineLevel="1" x14ac:dyDescent="0.3">
      <c r="A49" s="50"/>
      <c r="B49" s="12" t="str">
        <f>CONCATENATE("          ", "4144", " - ", "NON-TAXABLE SALES-ACCESSORIES")</f>
        <v xml:space="preserve">          4144 - NON-TAXABLE SALES-ACCESSORIES</v>
      </c>
      <c r="C49" s="12"/>
      <c r="D49" s="3">
        <f t="shared" si="6"/>
        <v>0</v>
      </c>
      <c r="E49" s="3"/>
      <c r="F49" s="22"/>
      <c r="G49" s="3"/>
      <c r="H49" s="3">
        <f>--47.85</f>
        <v>47.85</v>
      </c>
      <c r="I49" s="3"/>
      <c r="J49" s="22"/>
      <c r="K49" s="3"/>
      <c r="L49" s="3">
        <f t="shared" si="0"/>
        <v>-47.85</v>
      </c>
      <c r="M49" s="3"/>
      <c r="N49" s="22">
        <f t="shared" si="1"/>
        <v>-1</v>
      </c>
      <c r="O49" s="12"/>
      <c r="P49" s="3">
        <f t="shared" si="7"/>
        <v>0</v>
      </c>
      <c r="Q49" s="3"/>
      <c r="R49" s="22"/>
      <c r="S49" s="3"/>
      <c r="T49" s="3">
        <f>--47.85</f>
        <v>47.85</v>
      </c>
      <c r="U49" s="3"/>
      <c r="V49" s="22"/>
      <c r="W49" s="3"/>
      <c r="X49" s="3">
        <f t="shared" si="2"/>
        <v>-47.85</v>
      </c>
      <c r="Y49" s="3"/>
      <c r="Z49" s="22">
        <f t="shared" si="3"/>
        <v>-1</v>
      </c>
    </row>
    <row r="50" spans="1:26" s="24" customFormat="1" hidden="1" outlineLevel="1" x14ac:dyDescent="0.3">
      <c r="A50" s="50"/>
      <c r="B50" s="12" t="str">
        <f>CONCATENATE("          ", "4145", " - ", "NON-TAXABLE SALES-SPECIAL ORDE")</f>
        <v xml:space="preserve">          4145 - NON-TAXABLE SALES-SPECIAL ORDE</v>
      </c>
      <c r="C50" s="12"/>
      <c r="D50" s="3">
        <f t="shared" si="6"/>
        <v>0</v>
      </c>
      <c r="E50" s="3"/>
      <c r="F50" s="22"/>
      <c r="G50" s="3"/>
      <c r="H50" s="3">
        <f>--35496</f>
        <v>35496</v>
      </c>
      <c r="I50" s="3"/>
      <c r="J50" s="22"/>
      <c r="K50" s="3"/>
      <c r="L50" s="3">
        <f t="shared" si="0"/>
        <v>-35496</v>
      </c>
      <c r="M50" s="3"/>
      <c r="N50" s="22">
        <f t="shared" si="1"/>
        <v>-1</v>
      </c>
      <c r="O50" s="12"/>
      <c r="P50" s="3">
        <f t="shared" si="7"/>
        <v>0</v>
      </c>
      <c r="Q50" s="3"/>
      <c r="R50" s="22"/>
      <c r="S50" s="3"/>
      <c r="T50" s="3">
        <f>--35496</f>
        <v>35496</v>
      </c>
      <c r="U50" s="3"/>
      <c r="V50" s="22"/>
      <c r="W50" s="3"/>
      <c r="X50" s="3">
        <f t="shared" si="2"/>
        <v>-35496</v>
      </c>
      <c r="Y50" s="3"/>
      <c r="Z50" s="22">
        <f t="shared" si="3"/>
        <v>-1</v>
      </c>
    </row>
    <row r="51" spans="1:26" s="24" customFormat="1" hidden="1" outlineLevel="1" x14ac:dyDescent="0.3">
      <c r="A51" s="50"/>
      <c r="B51" s="12" t="str">
        <f>CONCATENATE("          ", "4146", " - ", "NON-TAXABLE SALES-COIN OP MACH")</f>
        <v xml:space="preserve">          4146 - NON-TAXABLE SALES-COIN OP MACH</v>
      </c>
      <c r="C51" s="12"/>
      <c r="D51" s="3">
        <f>--20.2</f>
        <v>20.2</v>
      </c>
      <c r="E51" s="3"/>
      <c r="F51" s="22"/>
      <c r="G51" s="3"/>
      <c r="H51" s="3">
        <f>0</f>
        <v>0</v>
      </c>
      <c r="I51" s="3"/>
      <c r="J51" s="22"/>
      <c r="K51" s="3"/>
      <c r="L51" s="3">
        <f t="shared" si="0"/>
        <v>20.2</v>
      </c>
      <c r="M51" s="3"/>
      <c r="N51" s="22">
        <f t="shared" si="1"/>
        <v>0</v>
      </c>
      <c r="O51" s="12"/>
      <c r="P51" s="3">
        <f>--20.2</f>
        <v>20.2</v>
      </c>
      <c r="Q51" s="3"/>
      <c r="R51" s="22"/>
      <c r="S51" s="3"/>
      <c r="T51" s="3">
        <f>0</f>
        <v>0</v>
      </c>
      <c r="U51" s="3"/>
      <c r="V51" s="22"/>
      <c r="W51" s="3"/>
      <c r="X51" s="3">
        <f t="shared" si="2"/>
        <v>20.2</v>
      </c>
      <c r="Y51" s="3"/>
      <c r="Z51" s="22">
        <f t="shared" si="3"/>
        <v>0</v>
      </c>
    </row>
    <row r="52" spans="1:26" s="24" customFormat="1" hidden="1" outlineLevel="1" x14ac:dyDescent="0.3">
      <c r="A52" s="50"/>
      <c r="B52" s="12" t="str">
        <f>CONCATENATE("          ", "4147", " - ", "NON-TAXABLE SALES-MISC")</f>
        <v xml:space="preserve">          4147 - NON-TAXABLE SALES-MISC</v>
      </c>
      <c r="C52" s="12"/>
      <c r="D52" s="3">
        <f t="shared" ref="D52:D57" si="8">0</f>
        <v>0</v>
      </c>
      <c r="E52" s="3"/>
      <c r="F52" s="22"/>
      <c r="G52" s="3"/>
      <c r="H52" s="3">
        <f>--1</f>
        <v>1</v>
      </c>
      <c r="I52" s="3"/>
      <c r="J52" s="22"/>
      <c r="K52" s="3"/>
      <c r="L52" s="3">
        <f t="shared" si="0"/>
        <v>-1</v>
      </c>
      <c r="M52" s="3"/>
      <c r="N52" s="22">
        <f t="shared" si="1"/>
        <v>-1</v>
      </c>
      <c r="O52" s="12"/>
      <c r="P52" s="3">
        <f t="shared" ref="P52:P57" si="9">0</f>
        <v>0</v>
      </c>
      <c r="Q52" s="3"/>
      <c r="R52" s="22"/>
      <c r="S52" s="3"/>
      <c r="T52" s="3">
        <f>--1</f>
        <v>1</v>
      </c>
      <c r="U52" s="3"/>
      <c r="V52" s="22"/>
      <c r="W52" s="3"/>
      <c r="X52" s="3">
        <f t="shared" si="2"/>
        <v>-1</v>
      </c>
      <c r="Y52" s="3"/>
      <c r="Z52" s="22">
        <f t="shared" si="3"/>
        <v>-1</v>
      </c>
    </row>
    <row r="53" spans="1:26" s="24" customFormat="1" hidden="1" outlineLevel="1" x14ac:dyDescent="0.3">
      <c r="A53" s="50"/>
      <c r="B53" s="12" t="str">
        <f>CONCATENATE("          ", "4181", " - ", "NON-TAXABLE SALES-ELECTRONICS")</f>
        <v xml:space="preserve">          4181 - NON-TAXABLE SALES-ELECTRONICS</v>
      </c>
      <c r="C53" s="12"/>
      <c r="D53" s="3">
        <f t="shared" si="8"/>
        <v>0</v>
      </c>
      <c r="E53" s="3"/>
      <c r="F53" s="22"/>
      <c r="G53" s="3"/>
      <c r="H53" s="3">
        <f>--289.98</f>
        <v>289.98</v>
      </c>
      <c r="I53" s="3"/>
      <c r="J53" s="22"/>
      <c r="K53" s="3"/>
      <c r="L53" s="3">
        <f t="shared" si="0"/>
        <v>-289.98</v>
      </c>
      <c r="M53" s="3"/>
      <c r="N53" s="22">
        <f t="shared" si="1"/>
        <v>-1</v>
      </c>
      <c r="O53" s="12"/>
      <c r="P53" s="3">
        <f t="shared" si="9"/>
        <v>0</v>
      </c>
      <c r="Q53" s="3"/>
      <c r="R53" s="22"/>
      <c r="S53" s="3"/>
      <c r="T53" s="3">
        <f>--289.98</f>
        <v>289.98</v>
      </c>
      <c r="U53" s="3"/>
      <c r="V53" s="22"/>
      <c r="W53" s="3"/>
      <c r="X53" s="3">
        <f t="shared" si="2"/>
        <v>-289.98</v>
      </c>
      <c r="Y53" s="3"/>
      <c r="Z53" s="22">
        <f t="shared" si="3"/>
        <v>-1</v>
      </c>
    </row>
    <row r="54" spans="1:26" s="24" customFormat="1" hidden="1" outlineLevel="1" x14ac:dyDescent="0.3">
      <c r="A54" s="50"/>
      <c r="B54" s="12" t="str">
        <f>CONCATENATE("          ", "4182", " - ", "NON-TAXABLE SALES-COMPUTER HAR")</f>
        <v xml:space="preserve">          4182 - NON-TAXABLE SALES-COMPUTER HAR</v>
      </c>
      <c r="C54" s="12"/>
      <c r="D54" s="3">
        <f t="shared" si="8"/>
        <v>0</v>
      </c>
      <c r="E54" s="3"/>
      <c r="F54" s="22"/>
      <c r="G54" s="3"/>
      <c r="H54" s="3">
        <f>--35876.99</f>
        <v>35876.99</v>
      </c>
      <c r="I54" s="3"/>
      <c r="J54" s="22"/>
      <c r="K54" s="3"/>
      <c r="L54" s="3">
        <f t="shared" si="0"/>
        <v>-35876.99</v>
      </c>
      <c r="M54" s="3"/>
      <c r="N54" s="22">
        <f t="shared" si="1"/>
        <v>-1</v>
      </c>
      <c r="O54" s="12"/>
      <c r="P54" s="3">
        <f t="shared" si="9"/>
        <v>0</v>
      </c>
      <c r="Q54" s="3"/>
      <c r="R54" s="22"/>
      <c r="S54" s="3"/>
      <c r="T54" s="3">
        <f>--35876.99</f>
        <v>35876.99</v>
      </c>
      <c r="U54" s="3"/>
      <c r="V54" s="22"/>
      <c r="W54" s="3"/>
      <c r="X54" s="3">
        <f t="shared" si="2"/>
        <v>-35876.99</v>
      </c>
      <c r="Y54" s="3"/>
      <c r="Z54" s="22">
        <f t="shared" si="3"/>
        <v>-1</v>
      </c>
    </row>
    <row r="55" spans="1:26" s="24" customFormat="1" hidden="1" outlineLevel="1" x14ac:dyDescent="0.3">
      <c r="A55" s="50"/>
      <c r="B55" s="12" t="str">
        <f>CONCATENATE("          ", "4183", " - ", "NON-TAXABLE SALES-COMPUTER EQU")</f>
        <v xml:space="preserve">          4183 - NON-TAXABLE SALES-COMPUTER EQU</v>
      </c>
      <c r="C55" s="12"/>
      <c r="D55" s="3">
        <f t="shared" si="8"/>
        <v>0</v>
      </c>
      <c r="E55" s="3"/>
      <c r="F55" s="22"/>
      <c r="G55" s="3"/>
      <c r="H55" s="3">
        <f>--1359.85</f>
        <v>1359.85</v>
      </c>
      <c r="I55" s="3"/>
      <c r="J55" s="22"/>
      <c r="K55" s="3"/>
      <c r="L55" s="3">
        <f t="shared" si="0"/>
        <v>-1359.85</v>
      </c>
      <c r="M55" s="3"/>
      <c r="N55" s="22">
        <f t="shared" si="1"/>
        <v>-1</v>
      </c>
      <c r="O55" s="12"/>
      <c r="P55" s="3">
        <f t="shared" si="9"/>
        <v>0</v>
      </c>
      <c r="Q55" s="3"/>
      <c r="R55" s="22"/>
      <c r="S55" s="3"/>
      <c r="T55" s="3">
        <f>--1359.85</f>
        <v>1359.85</v>
      </c>
      <c r="U55" s="3"/>
      <c r="V55" s="22"/>
      <c r="W55" s="3"/>
      <c r="X55" s="3">
        <f t="shared" si="2"/>
        <v>-1359.85</v>
      </c>
      <c r="Y55" s="3"/>
      <c r="Z55" s="22">
        <f t="shared" si="3"/>
        <v>-1</v>
      </c>
    </row>
    <row r="56" spans="1:26" s="24" customFormat="1" hidden="1" outlineLevel="1" x14ac:dyDescent="0.3">
      <c r="A56" s="50"/>
      <c r="B56" s="12" t="str">
        <f>CONCATENATE("          ", "4185", " - ", "NON-TAXABLE SALES-SOFTWARE")</f>
        <v xml:space="preserve">          4185 - NON-TAXABLE SALES-SOFTWARE</v>
      </c>
      <c r="C56" s="12"/>
      <c r="D56" s="3">
        <f t="shared" si="8"/>
        <v>0</v>
      </c>
      <c r="E56" s="3"/>
      <c r="F56" s="22"/>
      <c r="G56" s="3"/>
      <c r="H56" s="3">
        <f>--6187.74</f>
        <v>6187.74</v>
      </c>
      <c r="I56" s="3"/>
      <c r="J56" s="22"/>
      <c r="K56" s="3"/>
      <c r="L56" s="3">
        <f t="shared" si="0"/>
        <v>-6187.74</v>
      </c>
      <c r="M56" s="3"/>
      <c r="N56" s="22">
        <f t="shared" si="1"/>
        <v>-1</v>
      </c>
      <c r="O56" s="12"/>
      <c r="P56" s="3">
        <f t="shared" si="9"/>
        <v>0</v>
      </c>
      <c r="Q56" s="3"/>
      <c r="R56" s="22"/>
      <c r="S56" s="3"/>
      <c r="T56" s="3">
        <f>--6187.74</f>
        <v>6187.74</v>
      </c>
      <c r="U56" s="3"/>
      <c r="V56" s="22"/>
      <c r="W56" s="3"/>
      <c r="X56" s="3">
        <f t="shared" si="2"/>
        <v>-6187.74</v>
      </c>
      <c r="Y56" s="3"/>
      <c r="Z56" s="22">
        <f t="shared" si="3"/>
        <v>-1</v>
      </c>
    </row>
    <row r="57" spans="1:26" s="24" customFormat="1" hidden="1" outlineLevel="1" x14ac:dyDescent="0.3">
      <c r="A57" s="50"/>
      <c r="B57" s="12" t="str">
        <f>CONCATENATE("          ", "4186", " - ", "NON-TAXABLE SALES-COMPUTER SUP")</f>
        <v xml:space="preserve">          4186 - NON-TAXABLE SALES-COMPUTER SUP</v>
      </c>
      <c r="C57" s="12"/>
      <c r="D57" s="3">
        <f t="shared" si="8"/>
        <v>0</v>
      </c>
      <c r="E57" s="3"/>
      <c r="F57" s="22"/>
      <c r="G57" s="3"/>
      <c r="H57" s="3">
        <f>--154.95</f>
        <v>154.94999999999999</v>
      </c>
      <c r="I57" s="3"/>
      <c r="J57" s="22"/>
      <c r="K57" s="3"/>
      <c r="L57" s="3">
        <f t="shared" si="0"/>
        <v>-154.94999999999999</v>
      </c>
      <c r="M57" s="3"/>
      <c r="N57" s="22">
        <f t="shared" si="1"/>
        <v>-1</v>
      </c>
      <c r="O57" s="12"/>
      <c r="P57" s="3">
        <f t="shared" si="9"/>
        <v>0</v>
      </c>
      <c r="Q57" s="3"/>
      <c r="R57" s="22"/>
      <c r="S57" s="3"/>
      <c r="T57" s="3">
        <f>--154.95</f>
        <v>154.94999999999999</v>
      </c>
      <c r="U57" s="3"/>
      <c r="V57" s="22"/>
      <c r="W57" s="3"/>
      <c r="X57" s="3">
        <f t="shared" si="2"/>
        <v>-154.94999999999999</v>
      </c>
      <c r="Y57" s="3"/>
      <c r="Z57" s="22">
        <f t="shared" si="3"/>
        <v>-1</v>
      </c>
    </row>
    <row r="58" spans="1:26" s="24" customFormat="1" hidden="1" outlineLevel="1" x14ac:dyDescent="0.3">
      <c r="A58" s="50"/>
      <c r="B58" s="12" t="str">
        <f>CONCATENATE("          ", "4200", " - ", "TAXABLE RETURNS")</f>
        <v xml:space="preserve">          4200 - TAXABLE RETURNS</v>
      </c>
      <c r="C58" s="12"/>
      <c r="D58" s="3">
        <f>-32785.21</f>
        <v>-32785.21</v>
      </c>
      <c r="E58" s="3"/>
      <c r="F58" s="22"/>
      <c r="G58" s="3"/>
      <c r="H58" s="3">
        <f>0</f>
        <v>0</v>
      </c>
      <c r="I58" s="3"/>
      <c r="J58" s="22"/>
      <c r="K58" s="3"/>
      <c r="L58" s="3">
        <f t="shared" si="0"/>
        <v>-32785.21</v>
      </c>
      <c r="M58" s="3"/>
      <c r="N58" s="22">
        <f t="shared" si="1"/>
        <v>0</v>
      </c>
      <c r="O58" s="12"/>
      <c r="P58" s="3">
        <f>-32785.21</f>
        <v>-32785.21</v>
      </c>
      <c r="Q58" s="3"/>
      <c r="R58" s="22"/>
      <c r="S58" s="3"/>
      <c r="T58" s="3">
        <f>0</f>
        <v>0</v>
      </c>
      <c r="U58" s="3"/>
      <c r="V58" s="22"/>
      <c r="W58" s="3"/>
      <c r="X58" s="3">
        <f t="shared" si="2"/>
        <v>-32785.21</v>
      </c>
      <c r="Y58" s="3"/>
      <c r="Z58" s="22">
        <f t="shared" si="3"/>
        <v>0</v>
      </c>
    </row>
    <row r="59" spans="1:26" s="24" customFormat="1" hidden="1" outlineLevel="1" x14ac:dyDescent="0.3">
      <c r="A59" s="50"/>
      <c r="B59" s="12" t="str">
        <f>CONCATENATE("          ", "4201", " - ", "SALES RETURN TAXABLE-NEW TEXT")</f>
        <v xml:space="preserve">          4201 - SALES RETURN TAXABLE-NEW TEXT</v>
      </c>
      <c r="C59" s="12"/>
      <c r="D59" s="3">
        <f t="shared" ref="D59:D69" si="10">0</f>
        <v>0</v>
      </c>
      <c r="E59" s="3"/>
      <c r="F59" s="22"/>
      <c r="G59" s="3"/>
      <c r="H59" s="3">
        <f>-633.4</f>
        <v>-633.4</v>
      </c>
      <c r="I59" s="3"/>
      <c r="J59" s="22"/>
      <c r="K59" s="3"/>
      <c r="L59" s="3">
        <f t="shared" si="0"/>
        <v>633.4</v>
      </c>
      <c r="M59" s="3"/>
      <c r="N59" s="22">
        <f t="shared" si="1"/>
        <v>-1</v>
      </c>
      <c r="O59" s="12"/>
      <c r="P59" s="3">
        <f t="shared" ref="P59:P69" si="11">0</f>
        <v>0</v>
      </c>
      <c r="Q59" s="3"/>
      <c r="R59" s="22"/>
      <c r="S59" s="3"/>
      <c r="T59" s="3">
        <f>-633.4</f>
        <v>-633.4</v>
      </c>
      <c r="U59" s="3"/>
      <c r="V59" s="22"/>
      <c r="W59" s="3"/>
      <c r="X59" s="3">
        <f t="shared" si="2"/>
        <v>633.4</v>
      </c>
      <c r="Y59" s="3"/>
      <c r="Z59" s="22">
        <f t="shared" si="3"/>
        <v>-1</v>
      </c>
    </row>
    <row r="60" spans="1:26" s="24" customFormat="1" hidden="1" outlineLevel="1" x14ac:dyDescent="0.3">
      <c r="A60" s="50"/>
      <c r="B60" s="12" t="str">
        <f>CONCATENATE("          ", "4202", " - ", "SALES RETURN TAXABLE-USED TEXT")</f>
        <v xml:space="preserve">          4202 - SALES RETURN TAXABLE-USED TEXT</v>
      </c>
      <c r="C60" s="12"/>
      <c r="D60" s="3">
        <f t="shared" si="10"/>
        <v>0</v>
      </c>
      <c r="E60" s="3"/>
      <c r="F60" s="22"/>
      <c r="G60" s="3"/>
      <c r="H60" s="3">
        <f>-178.35</f>
        <v>-178.35</v>
      </c>
      <c r="I60" s="3"/>
      <c r="J60" s="22"/>
      <c r="K60" s="3"/>
      <c r="L60" s="3">
        <f t="shared" si="0"/>
        <v>178.35</v>
      </c>
      <c r="M60" s="3"/>
      <c r="N60" s="22">
        <f t="shared" si="1"/>
        <v>-1</v>
      </c>
      <c r="O60" s="12"/>
      <c r="P60" s="3">
        <f t="shared" si="11"/>
        <v>0</v>
      </c>
      <c r="Q60" s="3"/>
      <c r="R60" s="22"/>
      <c r="S60" s="3"/>
      <c r="T60" s="3">
        <f>-178.35</f>
        <v>-178.35</v>
      </c>
      <c r="U60" s="3"/>
      <c r="V60" s="22"/>
      <c r="W60" s="3"/>
      <c r="X60" s="3">
        <f t="shared" si="2"/>
        <v>178.35</v>
      </c>
      <c r="Y60" s="3"/>
      <c r="Z60" s="22">
        <f t="shared" si="3"/>
        <v>-1</v>
      </c>
    </row>
    <row r="61" spans="1:26" s="24" customFormat="1" hidden="1" outlineLevel="1" x14ac:dyDescent="0.3">
      <c r="A61" s="50"/>
      <c r="B61" s="12" t="str">
        <f>CONCATENATE("          ", "4226", " - ", "SALES RETURN TAXABLE-WRITING I")</f>
        <v xml:space="preserve">          4226 - SALES RETURN TAXABLE-WRITING I</v>
      </c>
      <c r="C61" s="12"/>
      <c r="D61" s="3">
        <f t="shared" si="10"/>
        <v>0</v>
      </c>
      <c r="E61" s="3"/>
      <c r="F61" s="22"/>
      <c r="G61" s="3"/>
      <c r="H61" s="3">
        <f>-6.38</f>
        <v>-6.38</v>
      </c>
      <c r="I61" s="3"/>
      <c r="J61" s="22"/>
      <c r="K61" s="3"/>
      <c r="L61" s="3">
        <f t="shared" si="0"/>
        <v>6.38</v>
      </c>
      <c r="M61" s="3"/>
      <c r="N61" s="22">
        <f t="shared" si="1"/>
        <v>-1</v>
      </c>
      <c r="O61" s="12"/>
      <c r="P61" s="3">
        <f t="shared" si="11"/>
        <v>0</v>
      </c>
      <c r="Q61" s="3"/>
      <c r="R61" s="22"/>
      <c r="S61" s="3"/>
      <c r="T61" s="3">
        <f>-6.38</f>
        <v>-6.38</v>
      </c>
      <c r="U61" s="3"/>
      <c r="V61" s="22"/>
      <c r="W61" s="3"/>
      <c r="X61" s="3">
        <f t="shared" si="2"/>
        <v>6.38</v>
      </c>
      <c r="Y61" s="3"/>
      <c r="Z61" s="22">
        <f t="shared" si="3"/>
        <v>-1</v>
      </c>
    </row>
    <row r="62" spans="1:26" s="24" customFormat="1" hidden="1" outlineLevel="1" x14ac:dyDescent="0.3">
      <c r="A62" s="50"/>
      <c r="B62" s="12" t="str">
        <f>CONCATENATE("          ", "4227", " - ", "SALES RETURN TAXABLE-SCHOOL SU")</f>
        <v xml:space="preserve">          4227 - SALES RETURN TAXABLE-SCHOOL SU</v>
      </c>
      <c r="C62" s="12"/>
      <c r="D62" s="3">
        <f t="shared" si="10"/>
        <v>0</v>
      </c>
      <c r="E62" s="3"/>
      <c r="F62" s="22"/>
      <c r="G62" s="3"/>
      <c r="H62" s="3">
        <f>-56.77</f>
        <v>-56.77</v>
      </c>
      <c r="I62" s="3"/>
      <c r="J62" s="22"/>
      <c r="K62" s="3"/>
      <c r="L62" s="3">
        <f t="shared" si="0"/>
        <v>56.77</v>
      </c>
      <c r="M62" s="3"/>
      <c r="N62" s="22">
        <f t="shared" si="1"/>
        <v>-1</v>
      </c>
      <c r="O62" s="12"/>
      <c r="P62" s="3">
        <f t="shared" si="11"/>
        <v>0</v>
      </c>
      <c r="Q62" s="3"/>
      <c r="R62" s="22"/>
      <c r="S62" s="3"/>
      <c r="T62" s="3">
        <f>-56.77</f>
        <v>-56.77</v>
      </c>
      <c r="U62" s="3"/>
      <c r="V62" s="22"/>
      <c r="W62" s="3"/>
      <c r="X62" s="3">
        <f t="shared" si="2"/>
        <v>56.77</v>
      </c>
      <c r="Y62" s="3"/>
      <c r="Z62" s="22">
        <f t="shared" si="3"/>
        <v>-1</v>
      </c>
    </row>
    <row r="63" spans="1:26" s="24" customFormat="1" hidden="1" outlineLevel="1" x14ac:dyDescent="0.3">
      <c r="A63" s="50"/>
      <c r="B63" s="12" t="str">
        <f>CONCATENATE("          ", "4240", " - ", "SALES RETURN TAXABLE-LOGO CLOT")</f>
        <v xml:space="preserve">          4240 - SALES RETURN TAXABLE-LOGO CLOT</v>
      </c>
      <c r="C63" s="12"/>
      <c r="D63" s="3">
        <f t="shared" si="10"/>
        <v>0</v>
      </c>
      <c r="E63" s="3"/>
      <c r="F63" s="22"/>
      <c r="G63" s="3"/>
      <c r="H63" s="3">
        <f>-3368.1</f>
        <v>-3368.1</v>
      </c>
      <c r="I63" s="3"/>
      <c r="J63" s="22"/>
      <c r="K63" s="3"/>
      <c r="L63" s="3">
        <f t="shared" si="0"/>
        <v>3368.1</v>
      </c>
      <c r="M63" s="3"/>
      <c r="N63" s="22">
        <f t="shared" si="1"/>
        <v>-1</v>
      </c>
      <c r="O63" s="12"/>
      <c r="P63" s="3">
        <f t="shared" si="11"/>
        <v>0</v>
      </c>
      <c r="Q63" s="3"/>
      <c r="R63" s="22"/>
      <c r="S63" s="3"/>
      <c r="T63" s="3">
        <f>-3368.1</f>
        <v>-3368.1</v>
      </c>
      <c r="U63" s="3"/>
      <c r="V63" s="22"/>
      <c r="W63" s="3"/>
      <c r="X63" s="3">
        <f t="shared" si="2"/>
        <v>3368.1</v>
      </c>
      <c r="Y63" s="3"/>
      <c r="Z63" s="22">
        <f t="shared" si="3"/>
        <v>-1</v>
      </c>
    </row>
    <row r="64" spans="1:26" s="24" customFormat="1" hidden="1" outlineLevel="1" x14ac:dyDescent="0.3">
      <c r="A64" s="50"/>
      <c r="B64" s="12" t="str">
        <f>CONCATENATE("          ", "4241", " - ", "SALES RETURN TAXABLE-LOGO GIFT")</f>
        <v xml:space="preserve">          4241 - SALES RETURN TAXABLE-LOGO GIFT</v>
      </c>
      <c r="C64" s="12"/>
      <c r="D64" s="3">
        <f t="shared" si="10"/>
        <v>0</v>
      </c>
      <c r="E64" s="3"/>
      <c r="F64" s="22"/>
      <c r="G64" s="3"/>
      <c r="H64" s="3">
        <f>-341.98</f>
        <v>-341.98</v>
      </c>
      <c r="I64" s="3"/>
      <c r="J64" s="22"/>
      <c r="K64" s="3"/>
      <c r="L64" s="3">
        <f t="shared" si="0"/>
        <v>341.98</v>
      </c>
      <c r="M64" s="3"/>
      <c r="N64" s="22">
        <f t="shared" si="1"/>
        <v>-1</v>
      </c>
      <c r="O64" s="12"/>
      <c r="P64" s="3">
        <f t="shared" si="11"/>
        <v>0</v>
      </c>
      <c r="Q64" s="3"/>
      <c r="R64" s="22"/>
      <c r="S64" s="3"/>
      <c r="T64" s="3">
        <f>-341.98</f>
        <v>-341.98</v>
      </c>
      <c r="U64" s="3"/>
      <c r="V64" s="22"/>
      <c r="W64" s="3"/>
      <c r="X64" s="3">
        <f t="shared" si="2"/>
        <v>341.98</v>
      </c>
      <c r="Y64" s="3"/>
      <c r="Z64" s="22">
        <f t="shared" si="3"/>
        <v>-1</v>
      </c>
    </row>
    <row r="65" spans="1:26" s="24" customFormat="1" hidden="1" outlineLevel="1" x14ac:dyDescent="0.3">
      <c r="A65" s="50"/>
      <c r="B65" s="12" t="str">
        <f>CONCATENATE("          ", "4242", " - ", "SALES RETURN TAXABLE-EVERYDAY")</f>
        <v xml:space="preserve">          4242 - SALES RETURN TAXABLE-EVERYDAY</v>
      </c>
      <c r="C65" s="12"/>
      <c r="D65" s="3">
        <f t="shared" si="10"/>
        <v>0</v>
      </c>
      <c r="E65" s="3"/>
      <c r="F65" s="22"/>
      <c r="G65" s="3"/>
      <c r="H65" s="3">
        <f>-178.96</f>
        <v>-178.96</v>
      </c>
      <c r="I65" s="3"/>
      <c r="J65" s="22"/>
      <c r="K65" s="3"/>
      <c r="L65" s="3">
        <f t="shared" si="0"/>
        <v>178.96</v>
      </c>
      <c r="M65" s="3"/>
      <c r="N65" s="22">
        <f t="shared" si="1"/>
        <v>-1</v>
      </c>
      <c r="O65" s="12"/>
      <c r="P65" s="3">
        <f t="shared" si="11"/>
        <v>0</v>
      </c>
      <c r="Q65" s="3"/>
      <c r="R65" s="22"/>
      <c r="S65" s="3"/>
      <c r="T65" s="3">
        <f>-178.96</f>
        <v>-178.96</v>
      </c>
      <c r="U65" s="3"/>
      <c r="V65" s="22"/>
      <c r="W65" s="3"/>
      <c r="X65" s="3">
        <f t="shared" si="2"/>
        <v>178.96</v>
      </c>
      <c r="Y65" s="3"/>
      <c r="Z65" s="22">
        <f t="shared" si="3"/>
        <v>-1</v>
      </c>
    </row>
    <row r="66" spans="1:26" s="24" customFormat="1" hidden="1" outlineLevel="1" x14ac:dyDescent="0.3">
      <c r="A66" s="50"/>
      <c r="B66" s="12" t="str">
        <f>CONCATENATE("          ", "4245", " - ", "SALES RETURN TAXABLE-SPECIAL O")</f>
        <v xml:space="preserve">          4245 - SALES RETURN TAXABLE-SPECIAL O</v>
      </c>
      <c r="C66" s="12"/>
      <c r="D66" s="3">
        <f t="shared" si="10"/>
        <v>0</v>
      </c>
      <c r="E66" s="3"/>
      <c r="F66" s="22"/>
      <c r="G66" s="3"/>
      <c r="H66" s="3">
        <f>-1121</f>
        <v>-1121</v>
      </c>
      <c r="I66" s="3"/>
      <c r="J66" s="22"/>
      <c r="K66" s="3"/>
      <c r="L66" s="3">
        <f t="shared" si="0"/>
        <v>1121</v>
      </c>
      <c r="M66" s="3"/>
      <c r="N66" s="22">
        <f t="shared" si="1"/>
        <v>-1</v>
      </c>
      <c r="O66" s="12"/>
      <c r="P66" s="3">
        <f t="shared" si="11"/>
        <v>0</v>
      </c>
      <c r="Q66" s="3"/>
      <c r="R66" s="22"/>
      <c r="S66" s="3"/>
      <c r="T66" s="3">
        <f>-1121</f>
        <v>-1121</v>
      </c>
      <c r="U66" s="3"/>
      <c r="V66" s="22"/>
      <c r="W66" s="3"/>
      <c r="X66" s="3">
        <f t="shared" si="2"/>
        <v>1121</v>
      </c>
      <c r="Y66" s="3"/>
      <c r="Z66" s="22">
        <f t="shared" si="3"/>
        <v>-1</v>
      </c>
    </row>
    <row r="67" spans="1:26" s="24" customFormat="1" hidden="1" outlineLevel="1" x14ac:dyDescent="0.3">
      <c r="A67" s="50"/>
      <c r="B67" s="12" t="str">
        <f>CONCATENATE("          ", "4281", " - ", "SALES RETURN TAXABLE-ELECTRONI")</f>
        <v xml:space="preserve">          4281 - SALES RETURN TAXABLE-ELECTRONI</v>
      </c>
      <c r="C67" s="12"/>
      <c r="D67" s="3">
        <f t="shared" si="10"/>
        <v>0</v>
      </c>
      <c r="E67" s="3"/>
      <c r="F67" s="22"/>
      <c r="G67" s="3"/>
      <c r="H67" s="3">
        <f>-6291.99</f>
        <v>-6291.99</v>
      </c>
      <c r="I67" s="3"/>
      <c r="J67" s="22"/>
      <c r="K67" s="3"/>
      <c r="L67" s="3">
        <f t="shared" si="0"/>
        <v>6291.99</v>
      </c>
      <c r="M67" s="3"/>
      <c r="N67" s="22">
        <f t="shared" si="1"/>
        <v>-1</v>
      </c>
      <c r="O67" s="12"/>
      <c r="P67" s="3">
        <f t="shared" si="11"/>
        <v>0</v>
      </c>
      <c r="Q67" s="3"/>
      <c r="R67" s="22"/>
      <c r="S67" s="3"/>
      <c r="T67" s="3">
        <f>-6291.99</f>
        <v>-6291.99</v>
      </c>
      <c r="U67" s="3"/>
      <c r="V67" s="22"/>
      <c r="W67" s="3"/>
      <c r="X67" s="3">
        <f t="shared" si="2"/>
        <v>6291.99</v>
      </c>
      <c r="Y67" s="3"/>
      <c r="Z67" s="22">
        <f t="shared" si="3"/>
        <v>-1</v>
      </c>
    </row>
    <row r="68" spans="1:26" s="24" customFormat="1" hidden="1" outlineLevel="1" x14ac:dyDescent="0.3">
      <c r="A68" s="50"/>
      <c r="B68" s="12" t="str">
        <f>CONCATENATE("          ", "4282", " - ", "SALES RETURN TAXABLE-COMPUTER")</f>
        <v xml:space="preserve">          4282 - SALES RETURN TAXABLE-COMPUTER</v>
      </c>
      <c r="C68" s="12"/>
      <c r="D68" s="3">
        <f t="shared" si="10"/>
        <v>0</v>
      </c>
      <c r="E68" s="3"/>
      <c r="F68" s="22"/>
      <c r="G68" s="3"/>
      <c r="H68" s="3">
        <f>-18207</f>
        <v>-18207</v>
      </c>
      <c r="I68" s="3"/>
      <c r="J68" s="22"/>
      <c r="K68" s="3"/>
      <c r="L68" s="3">
        <f t="shared" si="0"/>
        <v>18207</v>
      </c>
      <c r="M68" s="3"/>
      <c r="N68" s="22">
        <f t="shared" si="1"/>
        <v>-1</v>
      </c>
      <c r="O68" s="12"/>
      <c r="P68" s="3">
        <f t="shared" si="11"/>
        <v>0</v>
      </c>
      <c r="Q68" s="3"/>
      <c r="R68" s="22"/>
      <c r="S68" s="3"/>
      <c r="T68" s="3">
        <f>-18207</f>
        <v>-18207</v>
      </c>
      <c r="U68" s="3"/>
      <c r="V68" s="22"/>
      <c r="W68" s="3"/>
      <c r="X68" s="3">
        <f t="shared" si="2"/>
        <v>18207</v>
      </c>
      <c r="Y68" s="3"/>
      <c r="Z68" s="22">
        <f t="shared" si="3"/>
        <v>-1</v>
      </c>
    </row>
    <row r="69" spans="1:26" s="24" customFormat="1" hidden="1" outlineLevel="1" x14ac:dyDescent="0.3">
      <c r="A69" s="50"/>
      <c r="B69" s="12" t="str">
        <f>CONCATENATE("          ", "4283", " - ", "SALES RETURN TAXABLE-COMPUTER")</f>
        <v xml:space="preserve">          4283 - SALES RETURN TAXABLE-COMPUTER</v>
      </c>
      <c r="C69" s="12"/>
      <c r="D69" s="3">
        <f t="shared" si="10"/>
        <v>0</v>
      </c>
      <c r="E69" s="3"/>
      <c r="F69" s="22"/>
      <c r="G69" s="3"/>
      <c r="H69" s="3">
        <f>-818.93</f>
        <v>-818.93</v>
      </c>
      <c r="I69" s="3"/>
      <c r="J69" s="22"/>
      <c r="K69" s="3"/>
      <c r="L69" s="3">
        <f t="shared" si="0"/>
        <v>818.93</v>
      </c>
      <c r="M69" s="3"/>
      <c r="N69" s="22">
        <f t="shared" si="1"/>
        <v>-1</v>
      </c>
      <c r="O69" s="12"/>
      <c r="P69" s="3">
        <f t="shared" si="11"/>
        <v>0</v>
      </c>
      <c r="Q69" s="3"/>
      <c r="R69" s="22"/>
      <c r="S69" s="3"/>
      <c r="T69" s="3">
        <f>-818.93</f>
        <v>-818.93</v>
      </c>
      <c r="U69" s="3"/>
      <c r="V69" s="22"/>
      <c r="W69" s="3"/>
      <c r="X69" s="3">
        <f t="shared" si="2"/>
        <v>818.93</v>
      </c>
      <c r="Y69" s="3"/>
      <c r="Z69" s="22">
        <f t="shared" si="3"/>
        <v>-1</v>
      </c>
    </row>
    <row r="70" spans="1:26" s="24" customFormat="1" hidden="1" outlineLevel="1" x14ac:dyDescent="0.3">
      <c r="A70" s="50"/>
      <c r="B70" s="12" t="str">
        <f>CONCATENATE("          ", "4300", " - ", "NON-TAX RETURNS")</f>
        <v xml:space="preserve">          4300 - NON-TAX RETURNS</v>
      </c>
      <c r="C70" s="12"/>
      <c r="D70" s="3">
        <f>-1501.58</f>
        <v>-1501.58</v>
      </c>
      <c r="E70" s="3"/>
      <c r="F70" s="22"/>
      <c r="G70" s="3"/>
      <c r="H70" s="3">
        <f>0</f>
        <v>0</v>
      </c>
      <c r="I70" s="3"/>
      <c r="J70" s="22"/>
      <c r="K70" s="3"/>
      <c r="L70" s="3">
        <f t="shared" si="0"/>
        <v>-1501.58</v>
      </c>
      <c r="M70" s="3"/>
      <c r="N70" s="22">
        <f t="shared" si="1"/>
        <v>0</v>
      </c>
      <c r="O70" s="12"/>
      <c r="P70" s="3">
        <f>-1501.58</f>
        <v>-1501.58</v>
      </c>
      <c r="Q70" s="3"/>
      <c r="R70" s="22"/>
      <c r="S70" s="3"/>
      <c r="T70" s="3">
        <f>0</f>
        <v>0</v>
      </c>
      <c r="U70" s="3"/>
      <c r="V70" s="22"/>
      <c r="W70" s="3"/>
      <c r="X70" s="3">
        <f t="shared" si="2"/>
        <v>-1501.58</v>
      </c>
      <c r="Y70" s="3"/>
      <c r="Z70" s="22">
        <f t="shared" si="3"/>
        <v>0</v>
      </c>
    </row>
    <row r="71" spans="1:26" s="24" customFormat="1" hidden="1" outlineLevel="1" x14ac:dyDescent="0.3">
      <c r="A71" s="50"/>
      <c r="B71" s="12" t="str">
        <f>CONCATENATE("          ", "4302", " - ", "SALES RETURN NON TAXABLE-TEXT")</f>
        <v xml:space="preserve">          4302 - SALES RETURN NON TAXABLE-TEXT</v>
      </c>
      <c r="C71" s="12"/>
      <c r="D71" s="3">
        <f t="shared" ref="D71:D76" si="12">0</f>
        <v>0</v>
      </c>
      <c r="E71" s="3"/>
      <c r="F71" s="22"/>
      <c r="G71" s="3"/>
      <c r="H71" s="3">
        <f>-63.67</f>
        <v>-63.67</v>
      </c>
      <c r="I71" s="3"/>
      <c r="J71" s="22"/>
      <c r="K71" s="3"/>
      <c r="L71" s="3">
        <f t="shared" si="0"/>
        <v>63.67</v>
      </c>
      <c r="M71" s="3"/>
      <c r="N71" s="22">
        <f t="shared" si="1"/>
        <v>-1</v>
      </c>
      <c r="O71" s="12"/>
      <c r="P71" s="3">
        <f t="shared" ref="P71:P76" si="13">0</f>
        <v>0</v>
      </c>
      <c r="Q71" s="3"/>
      <c r="R71" s="22"/>
      <c r="S71" s="3"/>
      <c r="T71" s="3">
        <f>-63.67</f>
        <v>-63.67</v>
      </c>
      <c r="U71" s="3"/>
      <c r="V71" s="22"/>
      <c r="W71" s="3"/>
      <c r="X71" s="3">
        <f t="shared" si="2"/>
        <v>63.67</v>
      </c>
      <c r="Y71" s="3"/>
      <c r="Z71" s="22">
        <f t="shared" si="3"/>
        <v>-1</v>
      </c>
    </row>
    <row r="72" spans="1:26" s="24" customFormat="1" hidden="1" outlineLevel="1" x14ac:dyDescent="0.3">
      <c r="A72" s="50"/>
      <c r="B72" s="12" t="str">
        <f>CONCATENATE("          ", "4304", " - ", "SALES RETURN NON TAXABLE-DIGIT")</f>
        <v xml:space="preserve">          4304 - SALES RETURN NON TAXABLE-DIGIT</v>
      </c>
      <c r="C72" s="12"/>
      <c r="D72" s="3">
        <f t="shared" si="12"/>
        <v>0</v>
      </c>
      <c r="E72" s="3"/>
      <c r="F72" s="22"/>
      <c r="G72" s="3"/>
      <c r="H72" s="3">
        <f>-452.05</f>
        <v>-452.05</v>
      </c>
      <c r="I72" s="3"/>
      <c r="J72" s="22"/>
      <c r="K72" s="3"/>
      <c r="L72" s="3">
        <f t="shared" si="0"/>
        <v>452.05</v>
      </c>
      <c r="M72" s="3"/>
      <c r="N72" s="22">
        <f t="shared" si="1"/>
        <v>-1</v>
      </c>
      <c r="O72" s="12"/>
      <c r="P72" s="3">
        <f t="shared" si="13"/>
        <v>0</v>
      </c>
      <c r="Q72" s="3"/>
      <c r="R72" s="22"/>
      <c r="S72" s="3"/>
      <c r="T72" s="3">
        <f>-452.05</f>
        <v>-452.05</v>
      </c>
      <c r="U72" s="3"/>
      <c r="V72" s="22"/>
      <c r="W72" s="3"/>
      <c r="X72" s="3">
        <f t="shared" si="2"/>
        <v>452.05</v>
      </c>
      <c r="Y72" s="3"/>
      <c r="Z72" s="22">
        <f t="shared" si="3"/>
        <v>-1</v>
      </c>
    </row>
    <row r="73" spans="1:26" s="24" customFormat="1" hidden="1" outlineLevel="1" x14ac:dyDescent="0.3">
      <c r="A73" s="50"/>
      <c r="B73" s="12" t="str">
        <f>CONCATENATE("          ", "4340", " - ", "SALES RETURN NON TAXABLE-LOGO")</f>
        <v xml:space="preserve">          4340 - SALES RETURN NON TAXABLE-LOGO</v>
      </c>
      <c r="C73" s="12"/>
      <c r="D73" s="3">
        <f t="shared" si="12"/>
        <v>0</v>
      </c>
      <c r="E73" s="3"/>
      <c r="F73" s="22"/>
      <c r="G73" s="3"/>
      <c r="H73" s="3">
        <f>-434.24</f>
        <v>-434.24</v>
      </c>
      <c r="I73" s="3"/>
      <c r="J73" s="22"/>
      <c r="K73" s="3"/>
      <c r="L73" s="3">
        <f t="shared" si="0"/>
        <v>434.24</v>
      </c>
      <c r="M73" s="3"/>
      <c r="N73" s="22">
        <f t="shared" si="1"/>
        <v>-1</v>
      </c>
      <c r="O73" s="12"/>
      <c r="P73" s="3">
        <f t="shared" si="13"/>
        <v>0</v>
      </c>
      <c r="Q73" s="3"/>
      <c r="R73" s="22"/>
      <c r="S73" s="3"/>
      <c r="T73" s="3">
        <f>-434.24</f>
        <v>-434.24</v>
      </c>
      <c r="U73" s="3"/>
      <c r="V73" s="22"/>
      <c r="W73" s="3"/>
      <c r="X73" s="3">
        <f t="shared" si="2"/>
        <v>434.24</v>
      </c>
      <c r="Y73" s="3"/>
      <c r="Z73" s="22">
        <f t="shared" si="3"/>
        <v>-1</v>
      </c>
    </row>
    <row r="74" spans="1:26" s="24" customFormat="1" hidden="1" outlineLevel="1" x14ac:dyDescent="0.3">
      <c r="A74" s="50"/>
      <c r="B74" s="12" t="str">
        <f>CONCATENATE("          ", "4341", " - ", "SALES RETURN NON TAXABLE-LOGO")</f>
        <v xml:space="preserve">          4341 - SALES RETURN NON TAXABLE-LOGO</v>
      </c>
      <c r="C74" s="12"/>
      <c r="D74" s="3">
        <f t="shared" si="12"/>
        <v>0</v>
      </c>
      <c r="E74" s="3"/>
      <c r="F74" s="22"/>
      <c r="G74" s="3"/>
      <c r="H74" s="3">
        <f>-16.95</f>
        <v>-16.95</v>
      </c>
      <c r="I74" s="3"/>
      <c r="J74" s="22"/>
      <c r="K74" s="3"/>
      <c r="L74" s="3">
        <f t="shared" si="0"/>
        <v>16.95</v>
      </c>
      <c r="M74" s="3"/>
      <c r="N74" s="22">
        <f t="shared" si="1"/>
        <v>-1</v>
      </c>
      <c r="O74" s="12"/>
      <c r="P74" s="3">
        <f t="shared" si="13"/>
        <v>0</v>
      </c>
      <c r="Q74" s="3"/>
      <c r="R74" s="22"/>
      <c r="S74" s="3"/>
      <c r="T74" s="3">
        <f>-16.95</f>
        <v>-16.95</v>
      </c>
      <c r="U74" s="3"/>
      <c r="V74" s="22"/>
      <c r="W74" s="3"/>
      <c r="X74" s="3">
        <f t="shared" si="2"/>
        <v>16.95</v>
      </c>
      <c r="Y74" s="3"/>
      <c r="Z74" s="22">
        <f t="shared" si="3"/>
        <v>-1</v>
      </c>
    </row>
    <row r="75" spans="1:26" s="24" customFormat="1" hidden="1" outlineLevel="1" x14ac:dyDescent="0.3">
      <c r="A75" s="50"/>
      <c r="B75" s="12" t="str">
        <f>CONCATENATE("          ", "4342", " - ", "SALES RETURN NON TAXABLE-EVERY")</f>
        <v xml:space="preserve">          4342 - SALES RETURN NON TAXABLE-EVERY</v>
      </c>
      <c r="C75" s="12"/>
      <c r="D75" s="3">
        <f t="shared" si="12"/>
        <v>0</v>
      </c>
      <c r="E75" s="3"/>
      <c r="F75" s="22"/>
      <c r="G75" s="3"/>
      <c r="H75" s="3">
        <f>-79.85</f>
        <v>-79.849999999999994</v>
      </c>
      <c r="I75" s="3"/>
      <c r="J75" s="22"/>
      <c r="K75" s="3"/>
      <c r="L75" s="3">
        <f t="shared" si="0"/>
        <v>79.849999999999994</v>
      </c>
      <c r="M75" s="3"/>
      <c r="N75" s="22">
        <f t="shared" si="1"/>
        <v>-1</v>
      </c>
      <c r="O75" s="12"/>
      <c r="P75" s="3">
        <f t="shared" si="13"/>
        <v>0</v>
      </c>
      <c r="Q75" s="3"/>
      <c r="R75" s="22"/>
      <c r="S75" s="3"/>
      <c r="T75" s="3">
        <f>-79.85</f>
        <v>-79.849999999999994</v>
      </c>
      <c r="U75" s="3"/>
      <c r="V75" s="22"/>
      <c r="W75" s="3"/>
      <c r="X75" s="3">
        <f t="shared" si="2"/>
        <v>79.849999999999994</v>
      </c>
      <c r="Y75" s="3"/>
      <c r="Z75" s="22">
        <f t="shared" si="3"/>
        <v>-1</v>
      </c>
    </row>
    <row r="76" spans="1:26" s="24" customFormat="1" hidden="1" outlineLevel="1" x14ac:dyDescent="0.3">
      <c r="A76" s="50"/>
      <c r="B76" s="12" t="str">
        <f>CONCATENATE("          ", "4381", " - ", "SALES RETURN NON TAXABLE-ELECT")</f>
        <v xml:space="preserve">          4381 - SALES RETURN NON TAXABLE-ELECT</v>
      </c>
      <c r="C76" s="12"/>
      <c r="D76" s="3">
        <f t="shared" si="12"/>
        <v>0</v>
      </c>
      <c r="E76" s="3"/>
      <c r="F76" s="22"/>
      <c r="G76" s="3"/>
      <c r="H76" s="3">
        <f>-1749</f>
        <v>-1749</v>
      </c>
      <c r="I76" s="3"/>
      <c r="J76" s="22"/>
      <c r="K76" s="3"/>
      <c r="L76" s="3">
        <f t="shared" si="0"/>
        <v>1749</v>
      </c>
      <c r="M76" s="3"/>
      <c r="N76" s="22">
        <f t="shared" si="1"/>
        <v>-1</v>
      </c>
      <c r="O76" s="12"/>
      <c r="P76" s="3">
        <f t="shared" si="13"/>
        <v>0</v>
      </c>
      <c r="Q76" s="3"/>
      <c r="R76" s="22"/>
      <c r="S76" s="3"/>
      <c r="T76" s="3">
        <f>-1749</f>
        <v>-1749</v>
      </c>
      <c r="U76" s="3"/>
      <c r="V76" s="22"/>
      <c r="W76" s="3"/>
      <c r="X76" s="3">
        <f t="shared" si="2"/>
        <v>1749</v>
      </c>
      <c r="Y76" s="3"/>
      <c r="Z76" s="22">
        <f t="shared" si="3"/>
        <v>-1</v>
      </c>
    </row>
    <row r="77" spans="1:26" x14ac:dyDescent="0.3">
      <c r="A77" s="9"/>
      <c r="B77" s="10"/>
      <c r="C77" s="9"/>
      <c r="D77" s="2"/>
      <c r="E77" s="2"/>
      <c r="F77" s="6"/>
      <c r="G77" s="2"/>
      <c r="H77" s="2"/>
      <c r="I77" s="2"/>
      <c r="J77" s="6"/>
      <c r="K77" s="2"/>
      <c r="L77" s="2"/>
      <c r="M77" s="2"/>
      <c r="N77" s="6"/>
      <c r="P77" s="2"/>
      <c r="Q77" s="2"/>
      <c r="R77" s="6"/>
      <c r="S77" s="2"/>
      <c r="T77" s="2"/>
      <c r="U77" s="2"/>
      <c r="V77" s="6"/>
      <c r="W77" s="2"/>
      <c r="X77" s="2"/>
      <c r="Y77" s="2"/>
      <c r="Z77" s="6"/>
    </row>
    <row r="78" spans="1:26" s="23" customFormat="1" collapsed="1" x14ac:dyDescent="0.3">
      <c r="A78" s="10"/>
      <c r="B78" s="25" t="s">
        <v>256</v>
      </c>
      <c r="C78" s="10"/>
      <c r="D78" s="4">
        <f>SUM(OSRRefD16x_0)</f>
        <v>209792.91000000003</v>
      </c>
      <c r="E78" s="4"/>
      <c r="F78" s="11">
        <f t="shared" ref="F78:F112" si="14">IF(D$12=0,0,D78/D$12)</f>
        <v>0.66431256272076167</v>
      </c>
      <c r="G78" s="4"/>
      <c r="H78" s="4">
        <f>SUM(OSRRefH16x_0)</f>
        <v>325351.27000000014</v>
      </c>
      <c r="I78" s="4"/>
      <c r="J78" s="11">
        <f t="shared" ref="J78:J112" si="15">IF(H$12=0,0,H78/H$12)</f>
        <v>0.74684489963967959</v>
      </c>
      <c r="K78" s="4"/>
      <c r="L78" s="4">
        <f t="shared" ref="L78:L112" si="16">+D78-H78</f>
        <v>-115558.3600000001</v>
      </c>
      <c r="M78" s="4"/>
      <c r="N78" s="11">
        <f t="shared" ref="N78:N112" si="17">IF(H78=0,0,L78/H78)</f>
        <v>-0.35518029482411445</v>
      </c>
      <c r="O78" s="10"/>
      <c r="P78" s="4">
        <f>SUM(OSRRefP16x_0)</f>
        <v>209792.91000000003</v>
      </c>
      <c r="Q78" s="4"/>
      <c r="R78" s="11">
        <f t="shared" ref="R78:R112" si="18">IF(P$12=0,0,P78/P$12)</f>
        <v>0.66431256272076167</v>
      </c>
      <c r="S78" s="4"/>
      <c r="T78" s="4">
        <f>SUM(OSRRefT16x_0)</f>
        <v>325351.27000000014</v>
      </c>
      <c r="U78" s="4"/>
      <c r="V78" s="11">
        <f t="shared" ref="V78:V112" si="19">IF(T$12=0,0,T78/T$12)</f>
        <v>0.74684489963967959</v>
      </c>
      <c r="W78" s="4"/>
      <c r="X78" s="4">
        <f t="shared" ref="X78:X112" si="20">+P78-T78</f>
        <v>-115558.3600000001</v>
      </c>
      <c r="Y78" s="4"/>
      <c r="Z78" s="11">
        <f t="shared" ref="Z78:Z112" si="21">IF(T78=0,0,X78/T78)</f>
        <v>-0.35518029482411445</v>
      </c>
    </row>
    <row r="79" spans="1:26" s="24" customFormat="1" hidden="1" outlineLevel="1" x14ac:dyDescent="0.3">
      <c r="A79" s="50"/>
      <c r="B79" s="12" t="str">
        <f>CONCATENATE("          ", "5000", " - ", "PURCHASES @ COST")</f>
        <v xml:space="preserve">          5000 - PURCHASES @ COST</v>
      </c>
      <c r="C79" s="12"/>
      <c r="D79" s="3">
        <v>442136.21</v>
      </c>
      <c r="E79" s="3"/>
      <c r="F79" s="22">
        <f t="shared" si="14"/>
        <v>1.4000312915090638</v>
      </c>
      <c r="G79" s="3"/>
      <c r="H79" s="3"/>
      <c r="I79" s="3"/>
      <c r="J79" s="22">
        <f t="shared" si="15"/>
        <v>0</v>
      </c>
      <c r="K79" s="3"/>
      <c r="L79" s="3">
        <f t="shared" si="16"/>
        <v>442136.21</v>
      </c>
      <c r="M79" s="3"/>
      <c r="N79" s="22">
        <f t="shared" si="17"/>
        <v>0</v>
      </c>
      <c r="O79" s="12"/>
      <c r="P79" s="3">
        <v>442136.21</v>
      </c>
      <c r="Q79" s="3"/>
      <c r="R79" s="22">
        <f t="shared" si="18"/>
        <v>1.4000312915090638</v>
      </c>
      <c r="S79" s="3"/>
      <c r="T79" s="3"/>
      <c r="U79" s="3"/>
      <c r="V79" s="22">
        <f t="shared" si="19"/>
        <v>0</v>
      </c>
      <c r="W79" s="3"/>
      <c r="X79" s="3">
        <f t="shared" si="20"/>
        <v>442136.21</v>
      </c>
      <c r="Y79" s="3"/>
      <c r="Z79" s="22">
        <f t="shared" si="21"/>
        <v>0</v>
      </c>
    </row>
    <row r="80" spans="1:26" s="24" customFormat="1" hidden="1" outlineLevel="1" x14ac:dyDescent="0.3">
      <c r="A80" s="50"/>
      <c r="B80" s="12" t="str">
        <f>CONCATENATE("          ", "5001", " - ", "PURCHASES @ COST-NEW TEXT")</f>
        <v xml:space="preserve">          5001 - PURCHASES @ COST-NEW TEXT</v>
      </c>
      <c r="C80" s="12"/>
      <c r="D80" s="3">
        <v>0</v>
      </c>
      <c r="E80" s="3"/>
      <c r="F80" s="22">
        <f t="shared" si="14"/>
        <v>0</v>
      </c>
      <c r="G80" s="3"/>
      <c r="H80" s="3">
        <v>153110.63</v>
      </c>
      <c r="I80" s="3"/>
      <c r="J80" s="22">
        <f t="shared" si="15"/>
        <v>0.35146594969836165</v>
      </c>
      <c r="K80" s="3"/>
      <c r="L80" s="3">
        <f t="shared" si="16"/>
        <v>-153110.63</v>
      </c>
      <c r="M80" s="3"/>
      <c r="N80" s="22">
        <f t="shared" si="17"/>
        <v>-1</v>
      </c>
      <c r="O80" s="12"/>
      <c r="P80" s="3">
        <v>0</v>
      </c>
      <c r="Q80" s="3"/>
      <c r="R80" s="22">
        <f t="shared" si="18"/>
        <v>0</v>
      </c>
      <c r="S80" s="3"/>
      <c r="T80" s="3">
        <v>153110.63</v>
      </c>
      <c r="U80" s="3"/>
      <c r="V80" s="22">
        <f t="shared" si="19"/>
        <v>0.35146594969836165</v>
      </c>
      <c r="W80" s="3"/>
      <c r="X80" s="3">
        <f t="shared" si="20"/>
        <v>-153110.63</v>
      </c>
      <c r="Y80" s="3"/>
      <c r="Z80" s="22">
        <f t="shared" si="21"/>
        <v>-1</v>
      </c>
    </row>
    <row r="81" spans="1:26" s="24" customFormat="1" hidden="1" outlineLevel="1" x14ac:dyDescent="0.3">
      <c r="A81" s="50"/>
      <c r="B81" s="12" t="str">
        <f>CONCATENATE("          ", "5002", " - ", "PURCHASES @ COST-USED TEXT")</f>
        <v xml:space="preserve">          5002 - PURCHASES @ COST-USED TEXT</v>
      </c>
      <c r="C81" s="12"/>
      <c r="D81" s="3">
        <v>0</v>
      </c>
      <c r="E81" s="3"/>
      <c r="F81" s="22">
        <f t="shared" si="14"/>
        <v>0</v>
      </c>
      <c r="G81" s="3"/>
      <c r="H81" s="3">
        <v>60324.85</v>
      </c>
      <c r="I81" s="3"/>
      <c r="J81" s="22">
        <f t="shared" si="15"/>
        <v>0.1384758895947408</v>
      </c>
      <c r="K81" s="3"/>
      <c r="L81" s="3">
        <f t="shared" si="16"/>
        <v>-60324.85</v>
      </c>
      <c r="M81" s="3"/>
      <c r="N81" s="22">
        <f t="shared" si="17"/>
        <v>-1</v>
      </c>
      <c r="O81" s="12"/>
      <c r="P81" s="3">
        <v>0</v>
      </c>
      <c r="Q81" s="3"/>
      <c r="R81" s="22">
        <f t="shared" si="18"/>
        <v>0</v>
      </c>
      <c r="S81" s="3"/>
      <c r="T81" s="3">
        <v>60324.85</v>
      </c>
      <c r="U81" s="3"/>
      <c r="V81" s="22">
        <f t="shared" si="19"/>
        <v>0.1384758895947408</v>
      </c>
      <c r="W81" s="3"/>
      <c r="X81" s="3">
        <f t="shared" si="20"/>
        <v>-60324.85</v>
      </c>
      <c r="Y81" s="3"/>
      <c r="Z81" s="22">
        <f t="shared" si="21"/>
        <v>-1</v>
      </c>
    </row>
    <row r="82" spans="1:26" s="24" customFormat="1" hidden="1" outlineLevel="1" x14ac:dyDescent="0.3">
      <c r="A82" s="50"/>
      <c r="B82" s="12" t="str">
        <f>CONCATENATE("          ", "5003", " - ", "PURCHASES @ COST-RENTAL TEXT")</f>
        <v xml:space="preserve">          5003 - PURCHASES @ COST-RENTAL TEXT</v>
      </c>
      <c r="C82" s="12"/>
      <c r="D82" s="3"/>
      <c r="E82" s="3"/>
      <c r="F82" s="22">
        <f t="shared" si="14"/>
        <v>0</v>
      </c>
      <c r="G82" s="3"/>
      <c r="H82" s="3">
        <v>-11926.64</v>
      </c>
      <c r="I82" s="3"/>
      <c r="J82" s="22">
        <f t="shared" si="15"/>
        <v>-2.7377640953541029E-2</v>
      </c>
      <c r="K82" s="3"/>
      <c r="L82" s="3">
        <f t="shared" si="16"/>
        <v>11926.64</v>
      </c>
      <c r="M82" s="3"/>
      <c r="N82" s="22">
        <f t="shared" si="17"/>
        <v>-1</v>
      </c>
      <c r="O82" s="12"/>
      <c r="P82" s="3"/>
      <c r="Q82" s="3"/>
      <c r="R82" s="22">
        <f t="shared" si="18"/>
        <v>0</v>
      </c>
      <c r="S82" s="3"/>
      <c r="T82" s="3">
        <v>-11926.64</v>
      </c>
      <c r="U82" s="3"/>
      <c r="V82" s="22">
        <f t="shared" si="19"/>
        <v>-2.7377640953541029E-2</v>
      </c>
      <c r="W82" s="3"/>
      <c r="X82" s="3">
        <f t="shared" si="20"/>
        <v>11926.64</v>
      </c>
      <c r="Y82" s="3"/>
      <c r="Z82" s="22">
        <f t="shared" si="21"/>
        <v>-1</v>
      </c>
    </row>
    <row r="83" spans="1:26" s="24" customFormat="1" hidden="1" outlineLevel="1" x14ac:dyDescent="0.3">
      <c r="A83" s="50"/>
      <c r="B83" s="12" t="str">
        <f>CONCATENATE("          ", "5004", " - ", "PURCHASES @ COST-DIGITAL TEXT")</f>
        <v xml:space="preserve">          5004 - PURCHASES @ COST-DIGITAL TEXT</v>
      </c>
      <c r="C83" s="12"/>
      <c r="D83" s="3">
        <v>0</v>
      </c>
      <c r="E83" s="3"/>
      <c r="F83" s="22">
        <f t="shared" si="14"/>
        <v>0</v>
      </c>
      <c r="G83" s="3"/>
      <c r="H83" s="3">
        <v>4925.4799999999996</v>
      </c>
      <c r="I83" s="3"/>
      <c r="J83" s="22">
        <f t="shared" si="15"/>
        <v>1.1306455377528562E-2</v>
      </c>
      <c r="K83" s="3"/>
      <c r="L83" s="3">
        <f t="shared" si="16"/>
        <v>-4925.4799999999996</v>
      </c>
      <c r="M83" s="3"/>
      <c r="N83" s="22">
        <f t="shared" si="17"/>
        <v>-1</v>
      </c>
      <c r="O83" s="12"/>
      <c r="P83" s="3">
        <v>0</v>
      </c>
      <c r="Q83" s="3"/>
      <c r="R83" s="22">
        <f t="shared" si="18"/>
        <v>0</v>
      </c>
      <c r="S83" s="3"/>
      <c r="T83" s="3">
        <v>4925.4799999999996</v>
      </c>
      <c r="U83" s="3"/>
      <c r="V83" s="22">
        <f t="shared" si="19"/>
        <v>1.1306455377528562E-2</v>
      </c>
      <c r="W83" s="3"/>
      <c r="X83" s="3">
        <f t="shared" si="20"/>
        <v>-4925.4799999999996</v>
      </c>
      <c r="Y83" s="3"/>
      <c r="Z83" s="22">
        <f t="shared" si="21"/>
        <v>-1</v>
      </c>
    </row>
    <row r="84" spans="1:26" s="24" customFormat="1" hidden="1" outlineLevel="1" x14ac:dyDescent="0.3">
      <c r="A84" s="50"/>
      <c r="B84" s="12" t="str">
        <f>CONCATENATE("          ", "5013", " - ", "PURCHASES @ COST-TRADE BOOKS")</f>
        <v xml:space="preserve">          5013 - PURCHASES @ COST-TRADE BOOKS</v>
      </c>
      <c r="C84" s="12"/>
      <c r="D84" s="3"/>
      <c r="E84" s="3"/>
      <c r="F84" s="22">
        <f t="shared" si="14"/>
        <v>0</v>
      </c>
      <c r="G84" s="3"/>
      <c r="H84" s="3">
        <v>108.54</v>
      </c>
      <c r="I84" s="3"/>
      <c r="J84" s="22">
        <f t="shared" si="15"/>
        <v>2.4915392340989109E-4</v>
      </c>
      <c r="K84" s="3"/>
      <c r="L84" s="3">
        <f t="shared" si="16"/>
        <v>-108.54</v>
      </c>
      <c r="M84" s="3"/>
      <c r="N84" s="22">
        <f t="shared" si="17"/>
        <v>-1</v>
      </c>
      <c r="O84" s="12"/>
      <c r="P84" s="3"/>
      <c r="Q84" s="3"/>
      <c r="R84" s="22">
        <f t="shared" si="18"/>
        <v>0</v>
      </c>
      <c r="S84" s="3"/>
      <c r="T84" s="3">
        <v>108.54</v>
      </c>
      <c r="U84" s="3"/>
      <c r="V84" s="22">
        <f t="shared" si="19"/>
        <v>2.4915392340989109E-4</v>
      </c>
      <c r="W84" s="3"/>
      <c r="X84" s="3">
        <f t="shared" si="20"/>
        <v>-108.54</v>
      </c>
      <c r="Y84" s="3"/>
      <c r="Z84" s="22">
        <f t="shared" si="21"/>
        <v>-1</v>
      </c>
    </row>
    <row r="85" spans="1:26" s="24" customFormat="1" hidden="1" outlineLevel="1" x14ac:dyDescent="0.3">
      <c r="A85" s="50"/>
      <c r="B85" s="12" t="str">
        <f>CONCATENATE("          ", "5014", " - ", "PURCHASES @ COST-REMAINDERS")</f>
        <v xml:space="preserve">          5014 - PURCHASES @ COST-REMAINDERS</v>
      </c>
      <c r="C85" s="12"/>
      <c r="D85" s="3"/>
      <c r="E85" s="3"/>
      <c r="F85" s="22">
        <f t="shared" si="14"/>
        <v>0</v>
      </c>
      <c r="G85" s="3"/>
      <c r="H85" s="3">
        <v>-12.51</v>
      </c>
      <c r="I85" s="3"/>
      <c r="J85" s="22">
        <f t="shared" si="15"/>
        <v>-2.8716745732980813E-5</v>
      </c>
      <c r="K85" s="3"/>
      <c r="L85" s="3">
        <f t="shared" si="16"/>
        <v>12.51</v>
      </c>
      <c r="M85" s="3"/>
      <c r="N85" s="22">
        <f t="shared" si="17"/>
        <v>-1</v>
      </c>
      <c r="O85" s="12"/>
      <c r="P85" s="3"/>
      <c r="Q85" s="3"/>
      <c r="R85" s="22">
        <f t="shared" si="18"/>
        <v>0</v>
      </c>
      <c r="S85" s="3"/>
      <c r="T85" s="3">
        <v>-12.51</v>
      </c>
      <c r="U85" s="3"/>
      <c r="V85" s="22">
        <f t="shared" si="19"/>
        <v>-2.8716745732980813E-5</v>
      </c>
      <c r="W85" s="3"/>
      <c r="X85" s="3">
        <f t="shared" si="20"/>
        <v>12.51</v>
      </c>
      <c r="Y85" s="3"/>
      <c r="Z85" s="22">
        <f t="shared" si="21"/>
        <v>-1</v>
      </c>
    </row>
    <row r="86" spans="1:26" s="24" customFormat="1" hidden="1" outlineLevel="1" x14ac:dyDescent="0.3">
      <c r="A86" s="50"/>
      <c r="B86" s="12" t="str">
        <f>CONCATENATE("          ", "5027", " - ", "PURCHASES @ COST-SCHOOL SUPPLI")</f>
        <v xml:space="preserve">          5027 - PURCHASES @ COST-SCHOOL SUPPLI</v>
      </c>
      <c r="C86" s="12"/>
      <c r="D86" s="3"/>
      <c r="E86" s="3"/>
      <c r="F86" s="22">
        <f t="shared" si="14"/>
        <v>0</v>
      </c>
      <c r="G86" s="3"/>
      <c r="H86" s="3">
        <v>8503.4</v>
      </c>
      <c r="I86" s="3"/>
      <c r="J86" s="22">
        <f t="shared" si="15"/>
        <v>1.9519582387356439E-2</v>
      </c>
      <c r="K86" s="3"/>
      <c r="L86" s="3">
        <f t="shared" si="16"/>
        <v>-8503.4</v>
      </c>
      <c r="M86" s="3"/>
      <c r="N86" s="22">
        <f t="shared" si="17"/>
        <v>-1</v>
      </c>
      <c r="O86" s="12"/>
      <c r="P86" s="3"/>
      <c r="Q86" s="3"/>
      <c r="R86" s="22">
        <f t="shared" si="18"/>
        <v>0</v>
      </c>
      <c r="S86" s="3"/>
      <c r="T86" s="3">
        <v>8503.4</v>
      </c>
      <c r="U86" s="3"/>
      <c r="V86" s="22">
        <f t="shared" si="19"/>
        <v>1.9519582387356439E-2</v>
      </c>
      <c r="W86" s="3"/>
      <c r="X86" s="3">
        <f t="shared" si="20"/>
        <v>-8503.4</v>
      </c>
      <c r="Y86" s="3"/>
      <c r="Z86" s="22">
        <f t="shared" si="21"/>
        <v>-1</v>
      </c>
    </row>
    <row r="87" spans="1:26" s="24" customFormat="1" hidden="1" outlineLevel="1" x14ac:dyDescent="0.3">
      <c r="A87" s="50"/>
      <c r="B87" s="12" t="str">
        <f>CONCATENATE("          ", "5040", " - ", "PURCHASES @ COST-LOGO CLOTHING")</f>
        <v xml:space="preserve">          5040 - PURCHASES @ COST-LOGO CLOTHING</v>
      </c>
      <c r="C87" s="12"/>
      <c r="D87" s="3">
        <v>0</v>
      </c>
      <c r="E87" s="3"/>
      <c r="F87" s="22">
        <f t="shared" si="14"/>
        <v>0</v>
      </c>
      <c r="G87" s="3"/>
      <c r="H87" s="3">
        <v>1723.07</v>
      </c>
      <c r="I87" s="3"/>
      <c r="J87" s="22">
        <f t="shared" si="15"/>
        <v>3.9553127953738804E-3</v>
      </c>
      <c r="K87" s="3"/>
      <c r="L87" s="3">
        <f t="shared" si="16"/>
        <v>-1723.07</v>
      </c>
      <c r="M87" s="3"/>
      <c r="N87" s="22">
        <f t="shared" si="17"/>
        <v>-1</v>
      </c>
      <c r="O87" s="12"/>
      <c r="P87" s="3">
        <v>0</v>
      </c>
      <c r="Q87" s="3"/>
      <c r="R87" s="22">
        <f t="shared" si="18"/>
        <v>0</v>
      </c>
      <c r="S87" s="3"/>
      <c r="T87" s="3">
        <v>1723.07</v>
      </c>
      <c r="U87" s="3"/>
      <c r="V87" s="22">
        <f t="shared" si="19"/>
        <v>3.9553127953738804E-3</v>
      </c>
      <c r="W87" s="3"/>
      <c r="X87" s="3">
        <f t="shared" si="20"/>
        <v>-1723.07</v>
      </c>
      <c r="Y87" s="3"/>
      <c r="Z87" s="22">
        <f t="shared" si="21"/>
        <v>-1</v>
      </c>
    </row>
    <row r="88" spans="1:26" s="24" customFormat="1" hidden="1" outlineLevel="1" x14ac:dyDescent="0.3">
      <c r="A88" s="50"/>
      <c r="B88" s="12" t="str">
        <f>CONCATENATE("          ", "5041", " - ", "PURCHASES @ COST-LOGO GIFTS")</f>
        <v xml:space="preserve">          5041 - PURCHASES @ COST-LOGO GIFTS</v>
      </c>
      <c r="C88" s="12"/>
      <c r="D88" s="3">
        <v>0</v>
      </c>
      <c r="E88" s="3"/>
      <c r="F88" s="22">
        <f t="shared" si="14"/>
        <v>0</v>
      </c>
      <c r="G88" s="3"/>
      <c r="H88" s="3">
        <v>-713.75</v>
      </c>
      <c r="I88" s="3"/>
      <c r="J88" s="22">
        <f t="shared" si="15"/>
        <v>-1.6384154489940091E-3</v>
      </c>
      <c r="K88" s="3"/>
      <c r="L88" s="3">
        <f t="shared" si="16"/>
        <v>713.75</v>
      </c>
      <c r="M88" s="3"/>
      <c r="N88" s="22">
        <f t="shared" si="17"/>
        <v>-1</v>
      </c>
      <c r="O88" s="12"/>
      <c r="P88" s="3">
        <v>0</v>
      </c>
      <c r="Q88" s="3"/>
      <c r="R88" s="22">
        <f t="shared" si="18"/>
        <v>0</v>
      </c>
      <c r="S88" s="3"/>
      <c r="T88" s="3">
        <v>-713.75</v>
      </c>
      <c r="U88" s="3"/>
      <c r="V88" s="22">
        <f t="shared" si="19"/>
        <v>-1.6384154489940091E-3</v>
      </c>
      <c r="W88" s="3"/>
      <c r="X88" s="3">
        <f t="shared" si="20"/>
        <v>713.75</v>
      </c>
      <c r="Y88" s="3"/>
      <c r="Z88" s="22">
        <f t="shared" si="21"/>
        <v>-1</v>
      </c>
    </row>
    <row r="89" spans="1:26" s="24" customFormat="1" hidden="1" outlineLevel="1" x14ac:dyDescent="0.3">
      <c r="A89" s="50"/>
      <c r="B89" s="12" t="str">
        <f>CONCATENATE("          ", "5042", " - ", "PURCHASES @ COST-EVERYDAY GIFT")</f>
        <v xml:space="preserve">          5042 - PURCHASES @ COST-EVERYDAY GIFT</v>
      </c>
      <c r="C89" s="12"/>
      <c r="D89" s="3">
        <v>0</v>
      </c>
      <c r="E89" s="3"/>
      <c r="F89" s="22">
        <f t="shared" si="14"/>
        <v>0</v>
      </c>
      <c r="G89" s="3"/>
      <c r="H89" s="3">
        <v>236.16</v>
      </c>
      <c r="I89" s="3"/>
      <c r="J89" s="22">
        <f t="shared" si="15"/>
        <v>5.42106048944904E-4</v>
      </c>
      <c r="K89" s="3"/>
      <c r="L89" s="3">
        <f t="shared" si="16"/>
        <v>-236.16</v>
      </c>
      <c r="M89" s="3"/>
      <c r="N89" s="22">
        <f t="shared" si="17"/>
        <v>-1</v>
      </c>
      <c r="O89" s="12"/>
      <c r="P89" s="3">
        <v>0</v>
      </c>
      <c r="Q89" s="3"/>
      <c r="R89" s="22">
        <f t="shared" si="18"/>
        <v>0</v>
      </c>
      <c r="S89" s="3"/>
      <c r="T89" s="3">
        <v>236.16</v>
      </c>
      <c r="U89" s="3"/>
      <c r="V89" s="22">
        <f t="shared" si="19"/>
        <v>5.42106048944904E-4</v>
      </c>
      <c r="W89" s="3"/>
      <c r="X89" s="3">
        <f t="shared" si="20"/>
        <v>-236.16</v>
      </c>
      <c r="Y89" s="3"/>
      <c r="Z89" s="22">
        <f t="shared" si="21"/>
        <v>-1</v>
      </c>
    </row>
    <row r="90" spans="1:26" s="24" customFormat="1" hidden="1" outlineLevel="1" x14ac:dyDescent="0.3">
      <c r="A90" s="50"/>
      <c r="B90" s="12" t="str">
        <f>CONCATENATE("          ", "5043", " - ", "PURCHASES @ COST-CARDS")</f>
        <v xml:space="preserve">          5043 - PURCHASES @ COST-CARDS</v>
      </c>
      <c r="C90" s="12"/>
      <c r="D90" s="3">
        <v>0</v>
      </c>
      <c r="E90" s="3"/>
      <c r="F90" s="22">
        <f t="shared" si="14"/>
        <v>0</v>
      </c>
      <c r="G90" s="3"/>
      <c r="H90" s="3">
        <v>308.7</v>
      </c>
      <c r="I90" s="3"/>
      <c r="J90" s="22">
        <f t="shared" si="15"/>
        <v>7.0862185513758411E-4</v>
      </c>
      <c r="K90" s="3"/>
      <c r="L90" s="3">
        <f t="shared" si="16"/>
        <v>-308.7</v>
      </c>
      <c r="M90" s="3"/>
      <c r="N90" s="22">
        <f t="shared" si="17"/>
        <v>-1</v>
      </c>
      <c r="O90" s="12"/>
      <c r="P90" s="3">
        <v>0</v>
      </c>
      <c r="Q90" s="3"/>
      <c r="R90" s="22">
        <f t="shared" si="18"/>
        <v>0</v>
      </c>
      <c r="S90" s="3"/>
      <c r="T90" s="3">
        <v>308.7</v>
      </c>
      <c r="U90" s="3"/>
      <c r="V90" s="22">
        <f t="shared" si="19"/>
        <v>7.0862185513758411E-4</v>
      </c>
      <c r="W90" s="3"/>
      <c r="X90" s="3">
        <f t="shared" si="20"/>
        <v>-308.7</v>
      </c>
      <c r="Y90" s="3"/>
      <c r="Z90" s="22">
        <f t="shared" si="21"/>
        <v>-1</v>
      </c>
    </row>
    <row r="91" spans="1:26" s="24" customFormat="1" hidden="1" outlineLevel="1" x14ac:dyDescent="0.3">
      <c r="A91" s="50"/>
      <c r="B91" s="12" t="str">
        <f>CONCATENATE("          ", "5044", " - ", "PURCHASES @ COST-ACCESSORIES")</f>
        <v xml:space="preserve">          5044 - PURCHASES @ COST-ACCESSORIES</v>
      </c>
      <c r="C91" s="12"/>
      <c r="D91" s="3">
        <v>0</v>
      </c>
      <c r="E91" s="3"/>
      <c r="F91" s="22">
        <f t="shared" si="14"/>
        <v>0</v>
      </c>
      <c r="G91" s="3"/>
      <c r="H91" s="3"/>
      <c r="I91" s="3"/>
      <c r="J91" s="22">
        <f t="shared" si="15"/>
        <v>0</v>
      </c>
      <c r="K91" s="3"/>
      <c r="L91" s="3">
        <f t="shared" si="16"/>
        <v>0</v>
      </c>
      <c r="M91" s="3"/>
      <c r="N91" s="22">
        <f t="shared" si="17"/>
        <v>0</v>
      </c>
      <c r="O91" s="12"/>
      <c r="P91" s="3">
        <v>0</v>
      </c>
      <c r="Q91" s="3"/>
      <c r="R91" s="22">
        <f t="shared" si="18"/>
        <v>0</v>
      </c>
      <c r="S91" s="3"/>
      <c r="T91" s="3"/>
      <c r="U91" s="3"/>
      <c r="V91" s="22">
        <f t="shared" si="19"/>
        <v>0</v>
      </c>
      <c r="W91" s="3"/>
      <c r="X91" s="3">
        <f t="shared" si="20"/>
        <v>0</v>
      </c>
      <c r="Y91" s="3"/>
      <c r="Z91" s="22">
        <f t="shared" si="21"/>
        <v>0</v>
      </c>
    </row>
    <row r="92" spans="1:26" s="24" customFormat="1" hidden="1" outlineLevel="1" x14ac:dyDescent="0.3">
      <c r="A92" s="50"/>
      <c r="B92" s="12" t="str">
        <f>CONCATENATE("          ", "5045", " - ", "PURCHASES @ COST-SPECIAL ORDER")</f>
        <v xml:space="preserve">          5045 - PURCHASES @ COST-SPECIAL ORDER</v>
      </c>
      <c r="C92" s="12"/>
      <c r="D92" s="3">
        <v>0</v>
      </c>
      <c r="E92" s="3"/>
      <c r="F92" s="22">
        <f t="shared" si="14"/>
        <v>0</v>
      </c>
      <c r="G92" s="3"/>
      <c r="H92" s="3">
        <v>2756.21</v>
      </c>
      <c r="I92" s="3"/>
      <c r="J92" s="22">
        <f t="shared" si="15"/>
        <v>6.3268890293124739E-3</v>
      </c>
      <c r="K92" s="3"/>
      <c r="L92" s="3">
        <f t="shared" si="16"/>
        <v>-2756.21</v>
      </c>
      <c r="M92" s="3"/>
      <c r="N92" s="22">
        <f t="shared" si="17"/>
        <v>-1</v>
      </c>
      <c r="O92" s="12"/>
      <c r="P92" s="3">
        <v>0</v>
      </c>
      <c r="Q92" s="3"/>
      <c r="R92" s="22">
        <f t="shared" si="18"/>
        <v>0</v>
      </c>
      <c r="S92" s="3"/>
      <c r="T92" s="3">
        <v>2756.21</v>
      </c>
      <c r="U92" s="3"/>
      <c r="V92" s="22">
        <f t="shared" si="19"/>
        <v>6.3268890293124739E-3</v>
      </c>
      <c r="W92" s="3"/>
      <c r="X92" s="3">
        <f t="shared" si="20"/>
        <v>-2756.21</v>
      </c>
      <c r="Y92" s="3"/>
      <c r="Z92" s="22">
        <f t="shared" si="21"/>
        <v>-1</v>
      </c>
    </row>
    <row r="93" spans="1:26" s="24" customFormat="1" hidden="1" outlineLevel="1" x14ac:dyDescent="0.3">
      <c r="A93" s="50"/>
      <c r="B93" s="12" t="str">
        <f>CONCATENATE("          ", "5081", " - ", "PURCHASES @ COST-ELECTRONICS")</f>
        <v xml:space="preserve">          5081 - PURCHASES @ COST-ELECTRONICS</v>
      </c>
      <c r="C93" s="12"/>
      <c r="D93" s="3">
        <v>0</v>
      </c>
      <c r="E93" s="3"/>
      <c r="F93" s="22">
        <f t="shared" si="14"/>
        <v>0</v>
      </c>
      <c r="G93" s="3"/>
      <c r="H93" s="3">
        <v>6676.92</v>
      </c>
      <c r="I93" s="3"/>
      <c r="J93" s="22">
        <f t="shared" si="15"/>
        <v>1.5326891600276119E-2</v>
      </c>
      <c r="K93" s="3"/>
      <c r="L93" s="3">
        <f t="shared" si="16"/>
        <v>-6676.92</v>
      </c>
      <c r="M93" s="3"/>
      <c r="N93" s="22">
        <f t="shared" si="17"/>
        <v>-1</v>
      </c>
      <c r="O93" s="12"/>
      <c r="P93" s="3">
        <v>0</v>
      </c>
      <c r="Q93" s="3"/>
      <c r="R93" s="22">
        <f t="shared" si="18"/>
        <v>0</v>
      </c>
      <c r="S93" s="3"/>
      <c r="T93" s="3">
        <v>6676.92</v>
      </c>
      <c r="U93" s="3"/>
      <c r="V93" s="22">
        <f t="shared" si="19"/>
        <v>1.5326891600276119E-2</v>
      </c>
      <c r="W93" s="3"/>
      <c r="X93" s="3">
        <f t="shared" si="20"/>
        <v>-6676.92</v>
      </c>
      <c r="Y93" s="3"/>
      <c r="Z93" s="22">
        <f t="shared" si="21"/>
        <v>-1</v>
      </c>
    </row>
    <row r="94" spans="1:26" s="24" customFormat="1" hidden="1" outlineLevel="1" x14ac:dyDescent="0.3">
      <c r="A94" s="50"/>
      <c r="B94" s="12" t="str">
        <f>CONCATENATE("          ", "5082", " - ", "PURCHASES @ COST-COMPUTER HARD")</f>
        <v xml:space="preserve">          5082 - PURCHASES @ COST-COMPUTER HARD</v>
      </c>
      <c r="C94" s="12"/>
      <c r="D94" s="3">
        <v>-10902.62</v>
      </c>
      <c r="E94" s="3"/>
      <c r="F94" s="22">
        <f t="shared" si="14"/>
        <v>-3.4523318412288714E-2</v>
      </c>
      <c r="G94" s="3"/>
      <c r="H94" s="3">
        <v>186472.57</v>
      </c>
      <c r="I94" s="3"/>
      <c r="J94" s="22">
        <f t="shared" si="15"/>
        <v>0.42804839159596053</v>
      </c>
      <c r="K94" s="3"/>
      <c r="L94" s="3">
        <f t="shared" si="16"/>
        <v>-197375.19</v>
      </c>
      <c r="M94" s="3"/>
      <c r="N94" s="22">
        <f t="shared" si="17"/>
        <v>-1.0584676877676968</v>
      </c>
      <c r="O94" s="12"/>
      <c r="P94" s="3">
        <v>-10902.62</v>
      </c>
      <c r="Q94" s="3"/>
      <c r="R94" s="22">
        <f t="shared" si="18"/>
        <v>-3.4523318412288714E-2</v>
      </c>
      <c r="S94" s="3"/>
      <c r="T94" s="3">
        <v>186472.57</v>
      </c>
      <c r="U94" s="3"/>
      <c r="V94" s="22">
        <f t="shared" si="19"/>
        <v>0.42804839159596053</v>
      </c>
      <c r="W94" s="3"/>
      <c r="X94" s="3">
        <f t="shared" si="20"/>
        <v>-197375.19</v>
      </c>
      <c r="Y94" s="3"/>
      <c r="Z94" s="22">
        <f t="shared" si="21"/>
        <v>-1.0584676877676968</v>
      </c>
    </row>
    <row r="95" spans="1:26" s="24" customFormat="1" hidden="1" outlineLevel="1" x14ac:dyDescent="0.3">
      <c r="A95" s="50"/>
      <c r="B95" s="12" t="str">
        <f>CONCATENATE("          ", "5083", " - ", "PURCHASES @ COST-COMPUTER EQUI")</f>
        <v xml:space="preserve">          5083 - PURCHASES @ COST-COMPUTER EQUI</v>
      </c>
      <c r="C95" s="12"/>
      <c r="D95" s="3">
        <v>0</v>
      </c>
      <c r="E95" s="3"/>
      <c r="F95" s="22">
        <f t="shared" si="14"/>
        <v>0</v>
      </c>
      <c r="G95" s="3"/>
      <c r="H95" s="3">
        <v>29938.3</v>
      </c>
      <c r="I95" s="3"/>
      <c r="J95" s="22">
        <f t="shared" si="15"/>
        <v>6.8723465130111863E-2</v>
      </c>
      <c r="K95" s="3"/>
      <c r="L95" s="3">
        <f t="shared" si="16"/>
        <v>-29938.3</v>
      </c>
      <c r="M95" s="3"/>
      <c r="N95" s="22">
        <f t="shared" si="17"/>
        <v>-1</v>
      </c>
      <c r="O95" s="12"/>
      <c r="P95" s="3">
        <v>0</v>
      </c>
      <c r="Q95" s="3"/>
      <c r="R95" s="22">
        <f t="shared" si="18"/>
        <v>0</v>
      </c>
      <c r="S95" s="3"/>
      <c r="T95" s="3">
        <v>29938.3</v>
      </c>
      <c r="U95" s="3"/>
      <c r="V95" s="22">
        <f t="shared" si="19"/>
        <v>6.8723465130111863E-2</v>
      </c>
      <c r="W95" s="3"/>
      <c r="X95" s="3">
        <f t="shared" si="20"/>
        <v>-29938.3</v>
      </c>
      <c r="Y95" s="3"/>
      <c r="Z95" s="22">
        <f t="shared" si="21"/>
        <v>-1</v>
      </c>
    </row>
    <row r="96" spans="1:26" s="24" customFormat="1" hidden="1" outlineLevel="1" x14ac:dyDescent="0.3">
      <c r="A96" s="50"/>
      <c r="B96" s="12" t="str">
        <f>CONCATENATE("          ", "5085", " - ", "PURCHASES @ COST-SOFTWARE")</f>
        <v xml:space="preserve">          5085 - PURCHASES @ COST-SOFTWARE</v>
      </c>
      <c r="C96" s="12"/>
      <c r="D96" s="3">
        <v>0</v>
      </c>
      <c r="E96" s="3"/>
      <c r="F96" s="22">
        <f t="shared" si="14"/>
        <v>0</v>
      </c>
      <c r="G96" s="3"/>
      <c r="H96" s="3">
        <v>3864.34</v>
      </c>
      <c r="I96" s="3"/>
      <c r="J96" s="22">
        <f t="shared" si="15"/>
        <v>8.8706050524210295E-3</v>
      </c>
      <c r="K96" s="3"/>
      <c r="L96" s="3">
        <f t="shared" si="16"/>
        <v>-3864.34</v>
      </c>
      <c r="M96" s="3"/>
      <c r="N96" s="22">
        <f t="shared" si="17"/>
        <v>-1</v>
      </c>
      <c r="O96" s="12"/>
      <c r="P96" s="3">
        <v>0</v>
      </c>
      <c r="Q96" s="3"/>
      <c r="R96" s="22">
        <f t="shared" si="18"/>
        <v>0</v>
      </c>
      <c r="S96" s="3"/>
      <c r="T96" s="3">
        <v>3864.34</v>
      </c>
      <c r="U96" s="3"/>
      <c r="V96" s="22">
        <f t="shared" si="19"/>
        <v>8.8706050524210295E-3</v>
      </c>
      <c r="W96" s="3"/>
      <c r="X96" s="3">
        <f t="shared" si="20"/>
        <v>-3864.34</v>
      </c>
      <c r="Y96" s="3"/>
      <c r="Z96" s="22">
        <f t="shared" si="21"/>
        <v>-1</v>
      </c>
    </row>
    <row r="97" spans="1:26" s="24" customFormat="1" hidden="1" outlineLevel="1" x14ac:dyDescent="0.3">
      <c r="A97" s="50"/>
      <c r="B97" s="12" t="str">
        <f>CONCATENATE("          ", "5086", " - ", "PURCHASES @ COST-COMPUTER SUPP")</f>
        <v xml:space="preserve">          5086 - PURCHASES @ COST-COMPUTER SUPP</v>
      </c>
      <c r="C97" s="12"/>
      <c r="D97" s="3">
        <v>0</v>
      </c>
      <c r="E97" s="3"/>
      <c r="F97" s="22">
        <f t="shared" si="14"/>
        <v>0</v>
      </c>
      <c r="G97" s="3"/>
      <c r="H97" s="3">
        <v>87.25</v>
      </c>
      <c r="I97" s="3"/>
      <c r="J97" s="22">
        <f t="shared" si="15"/>
        <v>2.0028265908893494E-4</v>
      </c>
      <c r="K97" s="3"/>
      <c r="L97" s="3">
        <f t="shared" si="16"/>
        <v>-87.25</v>
      </c>
      <c r="M97" s="3"/>
      <c r="N97" s="22">
        <f t="shared" si="17"/>
        <v>-1</v>
      </c>
      <c r="O97" s="12"/>
      <c r="P97" s="3">
        <v>0</v>
      </c>
      <c r="Q97" s="3"/>
      <c r="R97" s="22">
        <f t="shared" si="18"/>
        <v>0</v>
      </c>
      <c r="S97" s="3"/>
      <c r="T97" s="3">
        <v>87.25</v>
      </c>
      <c r="U97" s="3"/>
      <c r="V97" s="22">
        <f t="shared" si="19"/>
        <v>2.0028265908893494E-4</v>
      </c>
      <c r="W97" s="3"/>
      <c r="X97" s="3">
        <f t="shared" si="20"/>
        <v>-87.25</v>
      </c>
      <c r="Y97" s="3"/>
      <c r="Z97" s="22">
        <f t="shared" si="21"/>
        <v>-1</v>
      </c>
    </row>
    <row r="98" spans="1:26" s="24" customFormat="1" hidden="1" outlineLevel="1" x14ac:dyDescent="0.3">
      <c r="A98" s="50"/>
      <c r="B98" s="12" t="str">
        <f>CONCATENATE("          ", "5092", " - ", "PURCHASES @ COST-GRAD MERCH")</f>
        <v xml:space="preserve">          5092 - PURCHASES @ COST-GRAD MERCH</v>
      </c>
      <c r="C98" s="12"/>
      <c r="D98" s="3"/>
      <c r="E98" s="3"/>
      <c r="F98" s="22">
        <f t="shared" si="14"/>
        <v>0</v>
      </c>
      <c r="G98" s="3"/>
      <c r="H98" s="3">
        <v>0</v>
      </c>
      <c r="I98" s="3"/>
      <c r="J98" s="22">
        <f t="shared" si="15"/>
        <v>0</v>
      </c>
      <c r="K98" s="3"/>
      <c r="L98" s="3">
        <f t="shared" si="16"/>
        <v>0</v>
      </c>
      <c r="M98" s="3"/>
      <c r="N98" s="22">
        <f t="shared" si="17"/>
        <v>0</v>
      </c>
      <c r="O98" s="12"/>
      <c r="P98" s="3"/>
      <c r="Q98" s="3"/>
      <c r="R98" s="22">
        <f t="shared" si="18"/>
        <v>0</v>
      </c>
      <c r="S98" s="3"/>
      <c r="T98" s="3">
        <v>0</v>
      </c>
      <c r="U98" s="3"/>
      <c r="V98" s="22">
        <f t="shared" si="19"/>
        <v>0</v>
      </c>
      <c r="W98" s="3"/>
      <c r="X98" s="3">
        <f t="shared" si="20"/>
        <v>0</v>
      </c>
      <c r="Y98" s="3"/>
      <c r="Z98" s="22">
        <f t="shared" si="21"/>
        <v>0</v>
      </c>
    </row>
    <row r="99" spans="1:26" s="24" customFormat="1" hidden="1" outlineLevel="1" x14ac:dyDescent="0.3">
      <c r="A99" s="50"/>
      <c r="B99" s="12" t="str">
        <f>CONCATENATE("          ", "5200", " - ", "PURCHASES OFFSET")</f>
        <v xml:space="preserve">          5200 - PURCHASES OFFSET</v>
      </c>
      <c r="C99" s="12"/>
      <c r="D99" s="3">
        <v>-443731.32</v>
      </c>
      <c r="E99" s="3"/>
      <c r="F99" s="22">
        <f t="shared" si="14"/>
        <v>-1.4050822325152281</v>
      </c>
      <c r="G99" s="3"/>
      <c r="H99" s="3">
        <v>-442822.05</v>
      </c>
      <c r="I99" s="3"/>
      <c r="J99" s="22">
        <f t="shared" si="15"/>
        <v>-1.0164994576184905</v>
      </c>
      <c r="K99" s="3"/>
      <c r="L99" s="3">
        <f t="shared" si="16"/>
        <v>-909.27000000001863</v>
      </c>
      <c r="M99" s="3"/>
      <c r="N99" s="22">
        <f t="shared" si="17"/>
        <v>2.0533530342493529E-3</v>
      </c>
      <c r="O99" s="12"/>
      <c r="P99" s="3">
        <v>-443731.32</v>
      </c>
      <c r="Q99" s="3"/>
      <c r="R99" s="22">
        <f t="shared" si="18"/>
        <v>-1.4050822325152281</v>
      </c>
      <c r="S99" s="3"/>
      <c r="T99" s="3">
        <v>-442822.05</v>
      </c>
      <c r="U99" s="3"/>
      <c r="V99" s="22">
        <f t="shared" si="19"/>
        <v>-1.0164994576184905</v>
      </c>
      <c r="W99" s="3"/>
      <c r="X99" s="3">
        <f t="shared" si="20"/>
        <v>-909.27000000001863</v>
      </c>
      <c r="Y99" s="3"/>
      <c r="Z99" s="22">
        <f t="shared" si="21"/>
        <v>2.0533530342493529E-3</v>
      </c>
    </row>
    <row r="100" spans="1:26" s="24" customFormat="1" hidden="1" outlineLevel="1" x14ac:dyDescent="0.3">
      <c r="A100" s="50"/>
      <c r="B100" s="12" t="str">
        <f>CONCATENATE("          ", "5300", " - ", "COG$ OFFSET")</f>
        <v xml:space="preserve">          5300 - COG$ OFFSET</v>
      </c>
      <c r="C100" s="12"/>
      <c r="D100" s="3">
        <v>218685.5</v>
      </c>
      <c r="E100" s="3"/>
      <c r="F100" s="22">
        <f t="shared" si="14"/>
        <v>0.69247108939416058</v>
      </c>
      <c r="G100" s="3"/>
      <c r="H100" s="3">
        <v>319584</v>
      </c>
      <c r="I100" s="3"/>
      <c r="J100" s="22">
        <f t="shared" si="15"/>
        <v>0.73360611257625419</v>
      </c>
      <c r="K100" s="3"/>
      <c r="L100" s="3">
        <f t="shared" si="16"/>
        <v>-100898.5</v>
      </c>
      <c r="M100" s="3"/>
      <c r="N100" s="22">
        <f t="shared" si="17"/>
        <v>-0.3157182462200861</v>
      </c>
      <c r="O100" s="12"/>
      <c r="P100" s="3">
        <v>218685.5</v>
      </c>
      <c r="Q100" s="3"/>
      <c r="R100" s="22">
        <f t="shared" si="18"/>
        <v>0.69247108939416058</v>
      </c>
      <c r="S100" s="3"/>
      <c r="T100" s="3">
        <v>319584</v>
      </c>
      <c r="U100" s="3"/>
      <c r="V100" s="22">
        <f t="shared" si="19"/>
        <v>0.73360611257625419</v>
      </c>
      <c r="W100" s="3"/>
      <c r="X100" s="3">
        <f t="shared" si="20"/>
        <v>-100898.5</v>
      </c>
      <c r="Y100" s="3"/>
      <c r="Z100" s="22">
        <f t="shared" si="21"/>
        <v>-0.3157182462200861</v>
      </c>
    </row>
    <row r="101" spans="1:26" s="24" customFormat="1" hidden="1" outlineLevel="1" x14ac:dyDescent="0.3">
      <c r="A101" s="50"/>
      <c r="B101" s="12" t="str">
        <f>CONCATENATE("          ", "5500", " - ", "FREIGHT-IN")</f>
        <v xml:space="preserve">          5500 - FREIGHT-IN</v>
      </c>
      <c r="C101" s="12"/>
      <c r="D101" s="3">
        <v>3605.14</v>
      </c>
      <c r="E101" s="3"/>
      <c r="F101" s="22">
        <f t="shared" si="14"/>
        <v>1.1415732745053806E-2</v>
      </c>
      <c r="G101" s="3"/>
      <c r="H101" s="3">
        <v>0</v>
      </c>
      <c r="I101" s="3"/>
      <c r="J101" s="22">
        <f t="shared" si="15"/>
        <v>0</v>
      </c>
      <c r="K101" s="3"/>
      <c r="L101" s="3">
        <f t="shared" si="16"/>
        <v>3605.14</v>
      </c>
      <c r="M101" s="3"/>
      <c r="N101" s="22">
        <f t="shared" si="17"/>
        <v>0</v>
      </c>
      <c r="O101" s="12"/>
      <c r="P101" s="3">
        <v>3605.14</v>
      </c>
      <c r="Q101" s="3"/>
      <c r="R101" s="22">
        <f t="shared" si="18"/>
        <v>1.1415732745053806E-2</v>
      </c>
      <c r="S101" s="3"/>
      <c r="T101" s="3">
        <v>0</v>
      </c>
      <c r="U101" s="3"/>
      <c r="V101" s="22">
        <f t="shared" si="19"/>
        <v>0</v>
      </c>
      <c r="W101" s="3"/>
      <c r="X101" s="3">
        <f t="shared" si="20"/>
        <v>3605.14</v>
      </c>
      <c r="Y101" s="3"/>
      <c r="Z101" s="22">
        <f t="shared" si="21"/>
        <v>0</v>
      </c>
    </row>
    <row r="102" spans="1:26" s="24" customFormat="1" hidden="1" outlineLevel="1" x14ac:dyDescent="0.3">
      <c r="A102" s="50"/>
      <c r="B102" s="12" t="str">
        <f>CONCATENATE("          ", "5501", " - ", "FREIGHT-IN-NEW TEXT")</f>
        <v xml:space="preserve">          5501 - FREIGHT-IN-NEW TEXT</v>
      </c>
      <c r="C102" s="12"/>
      <c r="D102" s="3">
        <v>0</v>
      </c>
      <c r="E102" s="3"/>
      <c r="F102" s="22">
        <f t="shared" si="14"/>
        <v>0</v>
      </c>
      <c r="G102" s="3"/>
      <c r="H102" s="3">
        <v>802.72</v>
      </c>
      <c r="I102" s="3"/>
      <c r="J102" s="22">
        <f t="shared" si="15"/>
        <v>1.842646373683322E-3</v>
      </c>
      <c r="K102" s="3"/>
      <c r="L102" s="3">
        <f t="shared" si="16"/>
        <v>-802.72</v>
      </c>
      <c r="M102" s="3"/>
      <c r="N102" s="22">
        <f t="shared" si="17"/>
        <v>-1</v>
      </c>
      <c r="O102" s="12"/>
      <c r="P102" s="3">
        <v>0</v>
      </c>
      <c r="Q102" s="3"/>
      <c r="R102" s="22">
        <f t="shared" si="18"/>
        <v>0</v>
      </c>
      <c r="S102" s="3"/>
      <c r="T102" s="3">
        <v>802.72</v>
      </c>
      <c r="U102" s="3"/>
      <c r="V102" s="22">
        <f t="shared" si="19"/>
        <v>1.842646373683322E-3</v>
      </c>
      <c r="W102" s="3"/>
      <c r="X102" s="3">
        <f t="shared" si="20"/>
        <v>-802.72</v>
      </c>
      <c r="Y102" s="3"/>
      <c r="Z102" s="22">
        <f t="shared" si="21"/>
        <v>-1</v>
      </c>
    </row>
    <row r="103" spans="1:26" s="24" customFormat="1" hidden="1" outlineLevel="1" x14ac:dyDescent="0.3">
      <c r="A103" s="50"/>
      <c r="B103" s="12" t="str">
        <f>CONCATENATE("          ", "5502", " - ", "FREIGHT-IN-USED TEXT")</f>
        <v xml:space="preserve">          5502 - FREIGHT-IN-USED TEXT</v>
      </c>
      <c r="C103" s="12"/>
      <c r="D103" s="3">
        <v>0</v>
      </c>
      <c r="E103" s="3"/>
      <c r="F103" s="22">
        <f t="shared" si="14"/>
        <v>0</v>
      </c>
      <c r="G103" s="3"/>
      <c r="H103" s="3">
        <v>47.89</v>
      </c>
      <c r="I103" s="3"/>
      <c r="J103" s="22">
        <f t="shared" si="15"/>
        <v>1.0993165093145093E-4</v>
      </c>
      <c r="K103" s="3"/>
      <c r="L103" s="3">
        <f t="shared" si="16"/>
        <v>-47.89</v>
      </c>
      <c r="M103" s="3"/>
      <c r="N103" s="22">
        <f t="shared" si="17"/>
        <v>-1</v>
      </c>
      <c r="O103" s="12"/>
      <c r="P103" s="3">
        <v>0</v>
      </c>
      <c r="Q103" s="3"/>
      <c r="R103" s="22">
        <f t="shared" si="18"/>
        <v>0</v>
      </c>
      <c r="S103" s="3"/>
      <c r="T103" s="3">
        <v>47.89</v>
      </c>
      <c r="U103" s="3"/>
      <c r="V103" s="22">
        <f t="shared" si="19"/>
        <v>1.0993165093145093E-4</v>
      </c>
      <c r="W103" s="3"/>
      <c r="X103" s="3">
        <f t="shared" si="20"/>
        <v>-47.89</v>
      </c>
      <c r="Y103" s="3"/>
      <c r="Z103" s="22">
        <f t="shared" si="21"/>
        <v>-1</v>
      </c>
    </row>
    <row r="104" spans="1:26" s="24" customFormat="1" hidden="1" outlineLevel="1" x14ac:dyDescent="0.3">
      <c r="A104" s="50"/>
      <c r="B104" s="12" t="str">
        <f>CONCATENATE("          ", "5518", " - ", "FREIGHT-IN-STUDY GUIDES")</f>
        <v xml:space="preserve">          5518 - FREIGHT-IN-STUDY GUIDES</v>
      </c>
      <c r="C104" s="12"/>
      <c r="D104" s="3">
        <v>0</v>
      </c>
      <c r="E104" s="3"/>
      <c r="F104" s="22">
        <f t="shared" si="14"/>
        <v>0</v>
      </c>
      <c r="G104" s="3"/>
      <c r="H104" s="3"/>
      <c r="I104" s="3"/>
      <c r="J104" s="22">
        <f t="shared" si="15"/>
        <v>0</v>
      </c>
      <c r="K104" s="3"/>
      <c r="L104" s="3">
        <f t="shared" si="16"/>
        <v>0</v>
      </c>
      <c r="M104" s="3"/>
      <c r="N104" s="22">
        <f t="shared" si="17"/>
        <v>0</v>
      </c>
      <c r="O104" s="12"/>
      <c r="P104" s="3">
        <v>0</v>
      </c>
      <c r="Q104" s="3"/>
      <c r="R104" s="22">
        <f t="shared" si="18"/>
        <v>0</v>
      </c>
      <c r="S104" s="3"/>
      <c r="T104" s="3"/>
      <c r="U104" s="3"/>
      <c r="V104" s="22">
        <f t="shared" si="19"/>
        <v>0</v>
      </c>
      <c r="W104" s="3"/>
      <c r="X104" s="3">
        <f t="shared" si="20"/>
        <v>0</v>
      </c>
      <c r="Y104" s="3"/>
      <c r="Z104" s="22">
        <f t="shared" si="21"/>
        <v>0</v>
      </c>
    </row>
    <row r="105" spans="1:26" s="24" customFormat="1" hidden="1" outlineLevel="1" x14ac:dyDescent="0.3">
      <c r="A105" s="50"/>
      <c r="B105" s="12" t="str">
        <f>CONCATENATE("          ", "5528", " - ", "FREIGHT-IN-ART/TECH")</f>
        <v xml:space="preserve">          5528 - FREIGHT-IN-ART/TECH</v>
      </c>
      <c r="C105" s="12"/>
      <c r="D105" s="3"/>
      <c r="E105" s="3"/>
      <c r="F105" s="22">
        <f t="shared" si="14"/>
        <v>0</v>
      </c>
      <c r="G105" s="3"/>
      <c r="H105" s="3">
        <v>38.049999999999997</v>
      </c>
      <c r="I105" s="3"/>
      <c r="J105" s="22">
        <f t="shared" si="15"/>
        <v>8.7343898892079932E-5</v>
      </c>
      <c r="K105" s="3"/>
      <c r="L105" s="3">
        <f t="shared" si="16"/>
        <v>-38.049999999999997</v>
      </c>
      <c r="M105" s="3"/>
      <c r="N105" s="22">
        <f t="shared" si="17"/>
        <v>-1</v>
      </c>
      <c r="O105" s="12"/>
      <c r="P105" s="3"/>
      <c r="Q105" s="3"/>
      <c r="R105" s="22">
        <f t="shared" si="18"/>
        <v>0</v>
      </c>
      <c r="S105" s="3"/>
      <c r="T105" s="3">
        <v>38.049999999999997</v>
      </c>
      <c r="U105" s="3"/>
      <c r="V105" s="22">
        <f t="shared" si="19"/>
        <v>8.7343898892079932E-5</v>
      </c>
      <c r="W105" s="3"/>
      <c r="X105" s="3">
        <f t="shared" si="20"/>
        <v>-38.049999999999997</v>
      </c>
      <c r="Y105" s="3"/>
      <c r="Z105" s="22">
        <f t="shared" si="21"/>
        <v>-1</v>
      </c>
    </row>
    <row r="106" spans="1:26" s="24" customFormat="1" hidden="1" outlineLevel="1" x14ac:dyDescent="0.3">
      <c r="A106" s="50"/>
      <c r="B106" s="12" t="str">
        <f>CONCATENATE("          ", "5540", " - ", "FREIGHT-IN-LOGO CLOTHING")</f>
        <v xml:space="preserve">          5540 - FREIGHT-IN-LOGO CLOTHING</v>
      </c>
      <c r="C106" s="12"/>
      <c r="D106" s="3">
        <v>0</v>
      </c>
      <c r="E106" s="3"/>
      <c r="F106" s="22">
        <f t="shared" si="14"/>
        <v>0</v>
      </c>
      <c r="G106" s="3"/>
      <c r="H106" s="3">
        <v>909.83</v>
      </c>
      <c r="I106" s="3"/>
      <c r="J106" s="22">
        <f t="shared" si="15"/>
        <v>2.0885177274370852E-3</v>
      </c>
      <c r="K106" s="3"/>
      <c r="L106" s="3">
        <f t="shared" si="16"/>
        <v>-909.83</v>
      </c>
      <c r="M106" s="3"/>
      <c r="N106" s="22">
        <f t="shared" si="17"/>
        <v>-1</v>
      </c>
      <c r="O106" s="12"/>
      <c r="P106" s="3">
        <v>0</v>
      </c>
      <c r="Q106" s="3"/>
      <c r="R106" s="22">
        <f t="shared" si="18"/>
        <v>0</v>
      </c>
      <c r="S106" s="3"/>
      <c r="T106" s="3">
        <v>909.83</v>
      </c>
      <c r="U106" s="3"/>
      <c r="V106" s="22">
        <f t="shared" si="19"/>
        <v>2.0885177274370852E-3</v>
      </c>
      <c r="W106" s="3"/>
      <c r="X106" s="3">
        <f t="shared" si="20"/>
        <v>-909.83</v>
      </c>
      <c r="Y106" s="3"/>
      <c r="Z106" s="22">
        <f t="shared" si="21"/>
        <v>-1</v>
      </c>
    </row>
    <row r="107" spans="1:26" s="24" customFormat="1" hidden="1" outlineLevel="1" x14ac:dyDescent="0.3">
      <c r="A107" s="50"/>
      <c r="B107" s="12" t="str">
        <f>CONCATENATE("          ", "5541", " - ", "FREIGHT-IN-LOGO GIFTS")</f>
        <v xml:space="preserve">          5541 - FREIGHT-IN-LOGO GIFTS</v>
      </c>
      <c r="C107" s="12"/>
      <c r="D107" s="3">
        <v>0</v>
      </c>
      <c r="E107" s="3"/>
      <c r="F107" s="22">
        <f t="shared" si="14"/>
        <v>0</v>
      </c>
      <c r="G107" s="3"/>
      <c r="H107" s="3">
        <v>83.58</v>
      </c>
      <c r="I107" s="3"/>
      <c r="J107" s="22">
        <f t="shared" si="15"/>
        <v>1.9185816213929146E-4</v>
      </c>
      <c r="K107" s="3"/>
      <c r="L107" s="3">
        <f t="shared" si="16"/>
        <v>-83.58</v>
      </c>
      <c r="M107" s="3"/>
      <c r="N107" s="22">
        <f t="shared" si="17"/>
        <v>-1</v>
      </c>
      <c r="O107" s="12"/>
      <c r="P107" s="3">
        <v>0</v>
      </c>
      <c r="Q107" s="3"/>
      <c r="R107" s="22">
        <f t="shared" si="18"/>
        <v>0</v>
      </c>
      <c r="S107" s="3"/>
      <c r="T107" s="3">
        <v>83.58</v>
      </c>
      <c r="U107" s="3"/>
      <c r="V107" s="22">
        <f t="shared" si="19"/>
        <v>1.9185816213929146E-4</v>
      </c>
      <c r="W107" s="3"/>
      <c r="X107" s="3">
        <f t="shared" si="20"/>
        <v>-83.58</v>
      </c>
      <c r="Y107" s="3"/>
      <c r="Z107" s="22">
        <f t="shared" si="21"/>
        <v>-1</v>
      </c>
    </row>
    <row r="108" spans="1:26" s="24" customFormat="1" hidden="1" outlineLevel="1" x14ac:dyDescent="0.3">
      <c r="A108" s="50"/>
      <c r="B108" s="12" t="str">
        <f>CONCATENATE("          ", "5542", " - ", "FREIGHT-IN-EVERYDAY GIFTS")</f>
        <v xml:space="preserve">          5542 - FREIGHT-IN-EVERYDAY GIFTS</v>
      </c>
      <c r="C108" s="12"/>
      <c r="D108" s="3">
        <v>0</v>
      </c>
      <c r="E108" s="3"/>
      <c r="F108" s="22">
        <f t="shared" si="14"/>
        <v>0</v>
      </c>
      <c r="G108" s="3"/>
      <c r="H108" s="3">
        <v>5.94</v>
      </c>
      <c r="I108" s="3"/>
      <c r="J108" s="22">
        <f t="shared" si="15"/>
        <v>1.3635289340839812E-5</v>
      </c>
      <c r="K108" s="3"/>
      <c r="L108" s="3">
        <f t="shared" si="16"/>
        <v>-5.94</v>
      </c>
      <c r="M108" s="3"/>
      <c r="N108" s="22">
        <f t="shared" si="17"/>
        <v>-1</v>
      </c>
      <c r="O108" s="12"/>
      <c r="P108" s="3">
        <v>0</v>
      </c>
      <c r="Q108" s="3"/>
      <c r="R108" s="22">
        <f t="shared" si="18"/>
        <v>0</v>
      </c>
      <c r="S108" s="3"/>
      <c r="T108" s="3">
        <v>5.94</v>
      </c>
      <c r="U108" s="3"/>
      <c r="V108" s="22">
        <f t="shared" si="19"/>
        <v>1.3635289340839812E-5</v>
      </c>
      <c r="W108" s="3"/>
      <c r="X108" s="3">
        <f t="shared" si="20"/>
        <v>-5.94</v>
      </c>
      <c r="Y108" s="3"/>
      <c r="Z108" s="22">
        <f t="shared" si="21"/>
        <v>-1</v>
      </c>
    </row>
    <row r="109" spans="1:26" s="24" customFormat="1" hidden="1" outlineLevel="1" x14ac:dyDescent="0.3">
      <c r="A109" s="50"/>
      <c r="B109" s="12" t="str">
        <f>CONCATENATE("          ", "5544", " - ", "FREIGHT-IN-ACCESSORIES")</f>
        <v xml:space="preserve">          5544 - FREIGHT-IN-ACCESSORIES</v>
      </c>
      <c r="C109" s="12"/>
      <c r="D109" s="3">
        <v>0</v>
      </c>
      <c r="E109" s="3"/>
      <c r="F109" s="22">
        <f t="shared" si="14"/>
        <v>0</v>
      </c>
      <c r="G109" s="3"/>
      <c r="H109" s="3"/>
      <c r="I109" s="3"/>
      <c r="J109" s="22">
        <f t="shared" si="15"/>
        <v>0</v>
      </c>
      <c r="K109" s="3"/>
      <c r="L109" s="3">
        <f t="shared" si="16"/>
        <v>0</v>
      </c>
      <c r="M109" s="3"/>
      <c r="N109" s="22">
        <f t="shared" si="17"/>
        <v>0</v>
      </c>
      <c r="O109" s="12"/>
      <c r="P109" s="3">
        <v>0</v>
      </c>
      <c r="Q109" s="3"/>
      <c r="R109" s="22">
        <f t="shared" si="18"/>
        <v>0</v>
      </c>
      <c r="S109" s="3"/>
      <c r="T109" s="3"/>
      <c r="U109" s="3"/>
      <c r="V109" s="22">
        <f t="shared" si="19"/>
        <v>0</v>
      </c>
      <c r="W109" s="3"/>
      <c r="X109" s="3">
        <f t="shared" si="20"/>
        <v>0</v>
      </c>
      <c r="Y109" s="3"/>
      <c r="Z109" s="22">
        <f t="shared" si="21"/>
        <v>0</v>
      </c>
    </row>
    <row r="110" spans="1:26" s="24" customFormat="1" hidden="1" outlineLevel="1" x14ac:dyDescent="0.3">
      <c r="A110" s="50"/>
      <c r="B110" s="12" t="str">
        <f>CONCATENATE("          ", "5545", " - ", "FREIGHT-IN-SPECIAL ORDERS")</f>
        <v xml:space="preserve">          5545 - FREIGHT-IN-SPECIAL ORDERS</v>
      </c>
      <c r="C110" s="12"/>
      <c r="D110" s="3">
        <v>0</v>
      </c>
      <c r="E110" s="3"/>
      <c r="F110" s="22">
        <f t="shared" si="14"/>
        <v>0</v>
      </c>
      <c r="G110" s="3"/>
      <c r="H110" s="3">
        <v>300.39999999999998</v>
      </c>
      <c r="I110" s="3"/>
      <c r="J110" s="22">
        <f t="shared" si="15"/>
        <v>6.895691781125049E-4</v>
      </c>
      <c r="K110" s="3"/>
      <c r="L110" s="3">
        <f t="shared" si="16"/>
        <v>-300.39999999999998</v>
      </c>
      <c r="M110" s="3"/>
      <c r="N110" s="22">
        <f t="shared" si="17"/>
        <v>-1</v>
      </c>
      <c r="O110" s="12"/>
      <c r="P110" s="3">
        <v>0</v>
      </c>
      <c r="Q110" s="3"/>
      <c r="R110" s="22">
        <f t="shared" si="18"/>
        <v>0</v>
      </c>
      <c r="S110" s="3"/>
      <c r="T110" s="3">
        <v>300.39999999999998</v>
      </c>
      <c r="U110" s="3"/>
      <c r="V110" s="22">
        <f t="shared" si="19"/>
        <v>6.895691781125049E-4</v>
      </c>
      <c r="W110" s="3"/>
      <c r="X110" s="3">
        <f t="shared" si="20"/>
        <v>-300.39999999999998</v>
      </c>
      <c r="Y110" s="3"/>
      <c r="Z110" s="22">
        <f t="shared" si="21"/>
        <v>-1</v>
      </c>
    </row>
    <row r="111" spans="1:26" s="24" customFormat="1" hidden="1" outlineLevel="1" x14ac:dyDescent="0.3">
      <c r="A111" s="50"/>
      <c r="B111" s="12" t="str">
        <f>CONCATENATE("          ", "5583", " - ", "FREIGHT-IN-COMPUTER EQUIPMENT")</f>
        <v xml:space="preserve">          5583 - FREIGHT-IN-COMPUTER EQUIPMENT</v>
      </c>
      <c r="C111" s="12"/>
      <c r="D111" s="3">
        <v>0</v>
      </c>
      <c r="E111" s="3"/>
      <c r="F111" s="22">
        <f t="shared" si="14"/>
        <v>0</v>
      </c>
      <c r="G111" s="3"/>
      <c r="H111" s="3">
        <v>17.39</v>
      </c>
      <c r="I111" s="3"/>
      <c r="J111" s="22">
        <f t="shared" si="15"/>
        <v>3.9918801622424967E-5</v>
      </c>
      <c r="K111" s="3"/>
      <c r="L111" s="3">
        <f t="shared" si="16"/>
        <v>-17.39</v>
      </c>
      <c r="M111" s="3"/>
      <c r="N111" s="22">
        <f t="shared" si="17"/>
        <v>-1</v>
      </c>
      <c r="O111" s="12"/>
      <c r="P111" s="3">
        <v>0</v>
      </c>
      <c r="Q111" s="3"/>
      <c r="R111" s="22">
        <f t="shared" si="18"/>
        <v>0</v>
      </c>
      <c r="S111" s="3"/>
      <c r="T111" s="3">
        <v>17.39</v>
      </c>
      <c r="U111" s="3"/>
      <c r="V111" s="22">
        <f t="shared" si="19"/>
        <v>3.9918801622424967E-5</v>
      </c>
      <c r="W111" s="3"/>
      <c r="X111" s="3">
        <f t="shared" si="20"/>
        <v>-17.39</v>
      </c>
      <c r="Y111" s="3"/>
      <c r="Z111" s="22">
        <f t="shared" si="21"/>
        <v>-1</v>
      </c>
    </row>
    <row r="112" spans="1:26" s="24" customFormat="1" hidden="1" outlineLevel="1" x14ac:dyDescent="0.3">
      <c r="A112" s="50"/>
      <c r="B112" s="12" t="str">
        <f>CONCATENATE("          ", "5592", " - ", "FREIGHT-IN-GRAD MERCH")</f>
        <v xml:space="preserve">          5592 - FREIGHT-IN-GRAD MERCH</v>
      </c>
      <c r="C112" s="12"/>
      <c r="D112" s="3"/>
      <c r="E112" s="3"/>
      <c r="F112" s="22">
        <f t="shared" si="14"/>
        <v>0</v>
      </c>
      <c r="G112" s="3"/>
      <c r="H112" s="3">
        <v>0</v>
      </c>
      <c r="I112" s="3"/>
      <c r="J112" s="22">
        <f t="shared" si="15"/>
        <v>0</v>
      </c>
      <c r="K112" s="3"/>
      <c r="L112" s="3">
        <f t="shared" si="16"/>
        <v>0</v>
      </c>
      <c r="M112" s="3"/>
      <c r="N112" s="22">
        <f t="shared" si="17"/>
        <v>0</v>
      </c>
      <c r="O112" s="12"/>
      <c r="P112" s="3"/>
      <c r="Q112" s="3"/>
      <c r="R112" s="22">
        <f t="shared" si="18"/>
        <v>0</v>
      </c>
      <c r="S112" s="3"/>
      <c r="T112" s="3">
        <v>0</v>
      </c>
      <c r="U112" s="3"/>
      <c r="V112" s="22">
        <f t="shared" si="19"/>
        <v>0</v>
      </c>
      <c r="W112" s="3"/>
      <c r="X112" s="3">
        <f t="shared" si="20"/>
        <v>0</v>
      </c>
      <c r="Y112" s="3"/>
      <c r="Z112" s="22">
        <f t="shared" si="21"/>
        <v>0</v>
      </c>
    </row>
    <row r="113" spans="1:26" x14ac:dyDescent="0.3">
      <c r="A113" s="9"/>
      <c r="B113" s="10"/>
      <c r="C113" s="10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10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x14ac:dyDescent="0.3">
      <c r="A114" s="10"/>
      <c r="B114" s="26" t="s">
        <v>107</v>
      </c>
      <c r="C114" s="26"/>
      <c r="D114" s="20">
        <f>D12-D78</f>
        <v>106011.60999999999</v>
      </c>
      <c r="E114" s="13"/>
      <c r="F114" s="21">
        <f>IF(D$12=0,0,D114/D$12)</f>
        <v>0.33568743727923839</v>
      </c>
      <c r="G114" s="13"/>
      <c r="H114" s="20">
        <f>H12-H78</f>
        <v>110283.04999999993</v>
      </c>
      <c r="I114" s="13"/>
      <c r="J114" s="21">
        <f>IF(H$12=0,0,H114/H$12)</f>
        <v>0.25315510036032035</v>
      </c>
      <c r="K114" s="16"/>
      <c r="L114" s="20">
        <f>+D114-H114</f>
        <v>-4271.4399999999441</v>
      </c>
      <c r="M114" s="16"/>
      <c r="N114" s="21">
        <f>IF(H114=0,0,L114/H114)</f>
        <v>-3.8731609254549514E-2</v>
      </c>
      <c r="O114" s="25"/>
      <c r="P114" s="20">
        <f>P12-P78</f>
        <v>106011.60999999999</v>
      </c>
      <c r="Q114" s="13"/>
      <c r="R114" s="21">
        <f>IF(P$12=0,0,P114/P$12)</f>
        <v>0.33568743727923839</v>
      </c>
      <c r="S114" s="13"/>
      <c r="T114" s="20">
        <f>T12-T78</f>
        <v>110283.04999999993</v>
      </c>
      <c r="U114" s="13"/>
      <c r="V114" s="21">
        <f>IF(T$12=0,0,T114/T$12)</f>
        <v>0.25315510036032035</v>
      </c>
      <c r="W114" s="16"/>
      <c r="X114" s="20">
        <f>+P114-T114</f>
        <v>-4271.4399999999441</v>
      </c>
      <c r="Y114" s="16"/>
      <c r="Z114" s="21">
        <f>IF(T114=0,0,X114/T114)</f>
        <v>-3.8731609254549514E-2</v>
      </c>
    </row>
    <row r="115" spans="1:26" x14ac:dyDescent="0.3">
      <c r="A115" s="9"/>
      <c r="B115" s="10"/>
      <c r="C115" s="9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3">
      <c r="A116" s="10"/>
      <c r="B116" s="25" t="s">
        <v>294</v>
      </c>
      <c r="C116" s="10"/>
      <c r="D116" s="19">
        <f>SUM(OSRRefD22x_0)</f>
        <v>380314.99999999988</v>
      </c>
      <c r="E116" s="19"/>
      <c r="F116" s="35">
        <f t="shared" ref="F116:F127" si="22">IF(D$12=0,0,D116/D$12)</f>
        <v>1.2042734537175082</v>
      </c>
      <c r="G116" s="19"/>
      <c r="H116" s="19">
        <f>SUM(OSRRefH22x_0)</f>
        <v>330380.4599999999</v>
      </c>
      <c r="I116" s="19"/>
      <c r="J116" s="35">
        <f t="shared" ref="J116:J127" si="23">IF(H$12=0,0,H116/H$12)</f>
        <v>0.75838942165989087</v>
      </c>
      <c r="K116" s="4"/>
      <c r="L116" s="19">
        <f t="shared" ref="L116:L127" si="24">+D116-H116</f>
        <v>49934.539999999979</v>
      </c>
      <c r="M116" s="4"/>
      <c r="N116" s="35">
        <f t="shared" ref="N116:N127" si="25">IF(H116=0,0,L116/H116)</f>
        <v>0.15114253427699686</v>
      </c>
      <c r="O116" s="10"/>
      <c r="P116" s="19">
        <f>SUM(OSRRefP22x_0)</f>
        <v>380314.99999999988</v>
      </c>
      <c r="Q116" s="19"/>
      <c r="R116" s="35">
        <f t="shared" ref="R116:R127" si="26">IF(P$12=0,0,P116/P$12)</f>
        <v>1.2042734537175082</v>
      </c>
      <c r="S116" s="19"/>
      <c r="T116" s="19">
        <f>SUM(OSRRefT22x_0)</f>
        <v>330380.4599999999</v>
      </c>
      <c r="U116" s="19"/>
      <c r="V116" s="35">
        <f t="shared" ref="V116:V127" si="27">IF(T$12=0,0,T116/T$12)</f>
        <v>0.75838942165989087</v>
      </c>
      <c r="W116" s="4"/>
      <c r="X116" s="19">
        <f t="shared" ref="X116:X127" si="28">+P116-T116</f>
        <v>49934.539999999979</v>
      </c>
      <c r="Y116" s="4"/>
      <c r="Z116" s="35">
        <f t="shared" ref="Z116:Z127" si="29">IF(T116=0,0,X116/T116)</f>
        <v>0.15114253427699686</v>
      </c>
    </row>
    <row r="117" spans="1:26" s="29" customFormat="1" outlineLevel="1" collapsed="1" x14ac:dyDescent="0.3">
      <c r="A117" s="28"/>
      <c r="B117" s="14" t="str">
        <f>CONCATENATE("     ","*Benefits                                         ")</f>
        <v xml:space="preserve">     *Benefits                                         </v>
      </c>
      <c r="C117" s="14"/>
      <c r="D117" s="1">
        <f>SUM(OSRRefD22_0x_0)</f>
        <v>49585.960000000006</v>
      </c>
      <c r="E117" s="1"/>
      <c r="F117" s="5">
        <f t="shared" si="22"/>
        <v>0.15701472543838196</v>
      </c>
      <c r="G117" s="1"/>
      <c r="H117" s="1">
        <f>SUM(OSRRefH22_0x_0)</f>
        <v>43394.840000000004</v>
      </c>
      <c r="I117" s="1"/>
      <c r="J117" s="5">
        <f t="shared" si="23"/>
        <v>9.9612996515058769E-2</v>
      </c>
      <c r="K117" s="1"/>
      <c r="L117" s="1">
        <f t="shared" si="24"/>
        <v>6191.1200000000026</v>
      </c>
      <c r="M117" s="1"/>
      <c r="N117" s="5">
        <f t="shared" si="25"/>
        <v>0.14266949711071644</v>
      </c>
      <c r="O117" s="14"/>
      <c r="P117" s="1">
        <f>SUM(OSRRefP22_0x_0)</f>
        <v>49585.960000000006</v>
      </c>
      <c r="Q117" s="1"/>
      <c r="R117" s="5">
        <f t="shared" si="26"/>
        <v>0.15701472543838196</v>
      </c>
      <c r="S117" s="1"/>
      <c r="T117" s="1">
        <f>SUM(OSRRefT22_0x_0)</f>
        <v>43394.840000000004</v>
      </c>
      <c r="U117" s="1"/>
      <c r="V117" s="5">
        <f t="shared" si="27"/>
        <v>9.9612996515058769E-2</v>
      </c>
      <c r="W117" s="1"/>
      <c r="X117" s="1">
        <f t="shared" si="28"/>
        <v>6191.1200000000026</v>
      </c>
      <c r="Y117" s="1"/>
      <c r="Z117" s="5">
        <f t="shared" si="29"/>
        <v>0.14266949711071644</v>
      </c>
    </row>
    <row r="118" spans="1:26" s="24" customFormat="1" hidden="1" outlineLevel="2" x14ac:dyDescent="0.3">
      <c r="A118" s="27"/>
      <c r="B118" s="12" t="str">
        <f>CONCATENATE("          ", "6111", " - ", "F.I.C.A.")</f>
        <v xml:space="preserve">          6111 - F.I.C.A.</v>
      </c>
      <c r="C118" s="12"/>
      <c r="D118" s="8">
        <v>10281.57</v>
      </c>
      <c r="E118" s="3"/>
      <c r="F118" s="7">
        <f t="shared" si="22"/>
        <v>3.2556753779204931E-2</v>
      </c>
      <c r="G118" s="3"/>
      <c r="H118" s="8">
        <v>7986.74</v>
      </c>
      <c r="I118" s="3"/>
      <c r="J118" s="7">
        <f t="shared" si="23"/>
        <v>1.8333587675094097E-2</v>
      </c>
      <c r="K118" s="3"/>
      <c r="L118" s="8">
        <f t="shared" si="24"/>
        <v>2294.83</v>
      </c>
      <c r="M118" s="3"/>
      <c r="N118" s="7">
        <f t="shared" si="25"/>
        <v>0.28732999947412835</v>
      </c>
      <c r="O118" s="12"/>
      <c r="P118" s="8">
        <v>10281.57</v>
      </c>
      <c r="Q118" s="3"/>
      <c r="R118" s="7">
        <f t="shared" si="26"/>
        <v>3.2556753779204931E-2</v>
      </c>
      <c r="S118" s="3"/>
      <c r="T118" s="8">
        <v>7986.74</v>
      </c>
      <c r="U118" s="3"/>
      <c r="V118" s="7">
        <f t="shared" si="27"/>
        <v>1.8333587675094097E-2</v>
      </c>
      <c r="W118" s="3"/>
      <c r="X118" s="8">
        <f t="shared" si="28"/>
        <v>2294.83</v>
      </c>
      <c r="Y118" s="3"/>
      <c r="Z118" s="7">
        <f t="shared" si="29"/>
        <v>0.28732999947412835</v>
      </c>
    </row>
    <row r="119" spans="1:26" s="24" customFormat="1" hidden="1" outlineLevel="2" x14ac:dyDescent="0.3">
      <c r="A119" s="27"/>
      <c r="B119" s="12" t="str">
        <f>CONCATENATE("          ", "6112", " - ", "COMPENSATION INSURANCE")</f>
        <v xml:space="preserve">          6112 - COMPENSATION INSURANCE</v>
      </c>
      <c r="C119" s="12"/>
      <c r="D119" s="8">
        <v>2150.77</v>
      </c>
      <c r="E119" s="3"/>
      <c r="F119" s="7">
        <f t="shared" si="22"/>
        <v>6.8104471715604315E-3</v>
      </c>
      <c r="G119" s="3"/>
      <c r="H119" s="8">
        <v>1832.08</v>
      </c>
      <c r="I119" s="3"/>
      <c r="J119" s="7">
        <f t="shared" si="23"/>
        <v>4.2055456053141076E-3</v>
      </c>
      <c r="K119" s="3"/>
      <c r="L119" s="8">
        <f t="shared" si="24"/>
        <v>318.69000000000005</v>
      </c>
      <c r="M119" s="3"/>
      <c r="N119" s="7">
        <f t="shared" si="25"/>
        <v>0.17394982751844901</v>
      </c>
      <c r="O119" s="12"/>
      <c r="P119" s="8">
        <v>2150.77</v>
      </c>
      <c r="Q119" s="3"/>
      <c r="R119" s="7">
        <f t="shared" si="26"/>
        <v>6.8104471715604315E-3</v>
      </c>
      <c r="S119" s="3"/>
      <c r="T119" s="8">
        <v>1832.08</v>
      </c>
      <c r="U119" s="3"/>
      <c r="V119" s="7">
        <f t="shared" si="27"/>
        <v>4.2055456053141076E-3</v>
      </c>
      <c r="W119" s="3"/>
      <c r="X119" s="8">
        <f t="shared" si="28"/>
        <v>318.69000000000005</v>
      </c>
      <c r="Y119" s="3"/>
      <c r="Z119" s="7">
        <f t="shared" si="29"/>
        <v>0.17394982751844901</v>
      </c>
    </row>
    <row r="120" spans="1:26" s="24" customFormat="1" hidden="1" outlineLevel="2" x14ac:dyDescent="0.3">
      <c r="A120" s="27"/>
      <c r="B120" s="12" t="str">
        <f>CONCATENATE("          ", "6113", " - ", "GROUP INSURANCE")</f>
        <v xml:space="preserve">          6113 - GROUP INSURANCE</v>
      </c>
      <c r="C120" s="12"/>
      <c r="D120" s="8">
        <v>18724.77</v>
      </c>
      <c r="E120" s="3"/>
      <c r="F120" s="7">
        <f t="shared" si="22"/>
        <v>5.9292279920502719E-2</v>
      </c>
      <c r="G120" s="3"/>
      <c r="H120" s="8">
        <v>14504.37</v>
      </c>
      <c r="I120" s="3"/>
      <c r="J120" s="7">
        <f t="shared" si="23"/>
        <v>3.3294828561716623E-2</v>
      </c>
      <c r="K120" s="3"/>
      <c r="L120" s="8">
        <f t="shared" si="24"/>
        <v>4220.3999999999996</v>
      </c>
      <c r="M120" s="3"/>
      <c r="N120" s="7">
        <f t="shared" si="25"/>
        <v>0.29097437530895859</v>
      </c>
      <c r="O120" s="12"/>
      <c r="P120" s="8">
        <v>18724.77</v>
      </c>
      <c r="Q120" s="3"/>
      <c r="R120" s="7">
        <f t="shared" si="26"/>
        <v>5.9292279920502719E-2</v>
      </c>
      <c r="S120" s="3"/>
      <c r="T120" s="8">
        <v>14504.37</v>
      </c>
      <c r="U120" s="3"/>
      <c r="V120" s="7">
        <f t="shared" si="27"/>
        <v>3.3294828561716623E-2</v>
      </c>
      <c r="W120" s="3"/>
      <c r="X120" s="8">
        <f t="shared" si="28"/>
        <v>4220.3999999999996</v>
      </c>
      <c r="Y120" s="3"/>
      <c r="Z120" s="7">
        <f t="shared" si="29"/>
        <v>0.29097437530895859</v>
      </c>
    </row>
    <row r="121" spans="1:26" s="24" customFormat="1" hidden="1" outlineLevel="2" x14ac:dyDescent="0.3">
      <c r="A121" s="27"/>
      <c r="B121" s="12" t="str">
        <f>CONCATENATE("          ", "6114", " - ", "STATE UNEMPLOYMENT INSURANCE")</f>
        <v xml:space="preserve">          6114 - STATE UNEMPLOYMENT INSURANCE</v>
      </c>
      <c r="C121" s="12"/>
      <c r="D121" s="8">
        <v>388.69</v>
      </c>
      <c r="E121" s="3"/>
      <c r="F121" s="7">
        <f t="shared" si="22"/>
        <v>1.2307930234817411E-3</v>
      </c>
      <c r="G121" s="3"/>
      <c r="H121" s="8">
        <v>289.55</v>
      </c>
      <c r="I121" s="3"/>
      <c r="J121" s="7">
        <f t="shared" si="23"/>
        <v>6.646629677845399E-4</v>
      </c>
      <c r="K121" s="3"/>
      <c r="L121" s="8">
        <f t="shared" si="24"/>
        <v>99.139999999999986</v>
      </c>
      <c r="M121" s="3"/>
      <c r="N121" s="7">
        <f t="shared" si="25"/>
        <v>0.34239336902089446</v>
      </c>
      <c r="O121" s="12"/>
      <c r="P121" s="8">
        <v>388.69</v>
      </c>
      <c r="Q121" s="3"/>
      <c r="R121" s="7">
        <f t="shared" si="26"/>
        <v>1.2307930234817411E-3</v>
      </c>
      <c r="S121" s="3"/>
      <c r="T121" s="8">
        <v>289.55</v>
      </c>
      <c r="U121" s="3"/>
      <c r="V121" s="7">
        <f t="shared" si="27"/>
        <v>6.646629677845399E-4</v>
      </c>
      <c r="W121" s="3"/>
      <c r="X121" s="8">
        <f t="shared" si="28"/>
        <v>99.139999999999986</v>
      </c>
      <c r="Y121" s="3"/>
      <c r="Z121" s="7">
        <f t="shared" si="29"/>
        <v>0.34239336902089446</v>
      </c>
    </row>
    <row r="122" spans="1:26" s="24" customFormat="1" hidden="1" outlineLevel="2" x14ac:dyDescent="0.3">
      <c r="A122" s="27"/>
      <c r="B122" s="12" t="str">
        <f>CONCATENATE("          ", "6115", " - ", "P.E.R.S.")</f>
        <v xml:space="preserve">          6115 - P.E.R.S.</v>
      </c>
      <c r="C122" s="12"/>
      <c r="D122" s="8">
        <v>6430.13</v>
      </c>
      <c r="E122" s="3"/>
      <c r="F122" s="7">
        <f t="shared" si="22"/>
        <v>2.0361108194398229E-2</v>
      </c>
      <c r="G122" s="3"/>
      <c r="H122" s="8">
        <v>8423.1200000000008</v>
      </c>
      <c r="I122" s="3"/>
      <c r="J122" s="7">
        <f t="shared" si="23"/>
        <v>1.9335299385962061E-2</v>
      </c>
      <c r="K122" s="3"/>
      <c r="L122" s="8">
        <f t="shared" si="24"/>
        <v>-1992.9900000000007</v>
      </c>
      <c r="M122" s="3"/>
      <c r="N122" s="7">
        <f t="shared" si="25"/>
        <v>-0.23660947487391851</v>
      </c>
      <c r="O122" s="12"/>
      <c r="P122" s="8">
        <v>6430.13</v>
      </c>
      <c r="Q122" s="3"/>
      <c r="R122" s="7">
        <f t="shared" si="26"/>
        <v>2.0361108194398229E-2</v>
      </c>
      <c r="S122" s="3"/>
      <c r="T122" s="8">
        <v>8423.1200000000008</v>
      </c>
      <c r="U122" s="3"/>
      <c r="V122" s="7">
        <f t="shared" si="27"/>
        <v>1.9335299385962061E-2</v>
      </c>
      <c r="W122" s="3"/>
      <c r="X122" s="8">
        <f t="shared" si="28"/>
        <v>-1992.9900000000007</v>
      </c>
      <c r="Y122" s="3"/>
      <c r="Z122" s="7">
        <f t="shared" si="29"/>
        <v>-0.23660947487391851</v>
      </c>
    </row>
    <row r="123" spans="1:26" s="24" customFormat="1" hidden="1" outlineLevel="2" x14ac:dyDescent="0.3">
      <c r="A123" s="27"/>
      <c r="B123" s="12" t="str">
        <f>CONCATENATE("          ", "6116", " - ", "EDUCATIONAL BENEFITS")</f>
        <v xml:space="preserve">          6116 - EDUCATIONAL BENEFITS</v>
      </c>
      <c r="C123" s="12"/>
      <c r="D123" s="8"/>
      <c r="E123" s="3"/>
      <c r="F123" s="7">
        <f t="shared" si="22"/>
        <v>0</v>
      </c>
      <c r="G123" s="3"/>
      <c r="H123" s="8">
        <v>0</v>
      </c>
      <c r="I123" s="3"/>
      <c r="J123" s="7">
        <f t="shared" si="23"/>
        <v>0</v>
      </c>
      <c r="K123" s="3"/>
      <c r="L123" s="8">
        <f t="shared" si="24"/>
        <v>0</v>
      </c>
      <c r="M123" s="3"/>
      <c r="N123" s="7">
        <f t="shared" si="25"/>
        <v>0</v>
      </c>
      <c r="O123" s="12"/>
      <c r="P123" s="8"/>
      <c r="Q123" s="3"/>
      <c r="R123" s="7">
        <f t="shared" si="26"/>
        <v>0</v>
      </c>
      <c r="S123" s="3"/>
      <c r="T123" s="8">
        <v>0</v>
      </c>
      <c r="U123" s="3"/>
      <c r="V123" s="7">
        <f t="shared" si="27"/>
        <v>0</v>
      </c>
      <c r="W123" s="3"/>
      <c r="X123" s="8">
        <f t="shared" si="28"/>
        <v>0</v>
      </c>
      <c r="Y123" s="3"/>
      <c r="Z123" s="7">
        <f t="shared" si="29"/>
        <v>0</v>
      </c>
    </row>
    <row r="124" spans="1:26" s="24" customFormat="1" hidden="1" outlineLevel="2" x14ac:dyDescent="0.3">
      <c r="A124" s="27"/>
      <c r="B124" s="12" t="str">
        <f>CONCATENATE("          ", "6117", " - ", "RETIREMENT STAFF HOURLY")</f>
        <v xml:space="preserve">          6117 - RETIREMENT STAFF HOURLY</v>
      </c>
      <c r="C124" s="12"/>
      <c r="D124" s="8">
        <v>715.55</v>
      </c>
      <c r="E124" s="3"/>
      <c r="F124" s="7">
        <f t="shared" si="22"/>
        <v>2.2658003754981084E-3</v>
      </c>
      <c r="G124" s="3"/>
      <c r="H124" s="8">
        <v>580.67999999999995</v>
      </c>
      <c r="I124" s="3"/>
      <c r="J124" s="7">
        <f t="shared" si="23"/>
        <v>1.3329528307136128E-3</v>
      </c>
      <c r="K124" s="3"/>
      <c r="L124" s="8">
        <f t="shared" si="24"/>
        <v>134.87</v>
      </c>
      <c r="M124" s="3"/>
      <c r="N124" s="7">
        <f t="shared" si="25"/>
        <v>0.2322621753805883</v>
      </c>
      <c r="O124" s="12"/>
      <c r="P124" s="8">
        <v>715.55</v>
      </c>
      <c r="Q124" s="3"/>
      <c r="R124" s="7">
        <f t="shared" si="26"/>
        <v>2.2658003754981084E-3</v>
      </c>
      <c r="S124" s="3"/>
      <c r="T124" s="8">
        <v>580.67999999999995</v>
      </c>
      <c r="U124" s="3"/>
      <c r="V124" s="7">
        <f t="shared" si="27"/>
        <v>1.3329528307136128E-3</v>
      </c>
      <c r="W124" s="3"/>
      <c r="X124" s="8">
        <f t="shared" si="28"/>
        <v>134.87</v>
      </c>
      <c r="Y124" s="3"/>
      <c r="Z124" s="7">
        <f t="shared" si="29"/>
        <v>0.2322621753805883</v>
      </c>
    </row>
    <row r="125" spans="1:26" s="24" customFormat="1" hidden="1" outlineLevel="2" x14ac:dyDescent="0.3">
      <c r="A125" s="27"/>
      <c r="B125" s="12" t="str">
        <f>CONCATENATE("          ", "6118", " - ", "VACATION")</f>
        <v xml:space="preserve">          6118 - VACATION</v>
      </c>
      <c r="C125" s="12"/>
      <c r="D125" s="8">
        <v>5468.55</v>
      </c>
      <c r="E125" s="3"/>
      <c r="F125" s="7">
        <f t="shared" si="22"/>
        <v>1.7316249938411268E-2</v>
      </c>
      <c r="G125" s="3"/>
      <c r="H125" s="8">
        <v>4991.5</v>
      </c>
      <c r="I125" s="3"/>
      <c r="J125" s="7">
        <f t="shared" si="23"/>
        <v>1.1458004502491905E-2</v>
      </c>
      <c r="K125" s="3"/>
      <c r="L125" s="8">
        <f t="shared" si="24"/>
        <v>477.05000000000018</v>
      </c>
      <c r="M125" s="3"/>
      <c r="N125" s="7">
        <f t="shared" si="25"/>
        <v>9.5572473204447603E-2</v>
      </c>
      <c r="O125" s="12"/>
      <c r="P125" s="8">
        <v>5468.55</v>
      </c>
      <c r="Q125" s="3"/>
      <c r="R125" s="7">
        <f t="shared" si="26"/>
        <v>1.7316249938411268E-2</v>
      </c>
      <c r="S125" s="3"/>
      <c r="T125" s="8">
        <v>4991.5</v>
      </c>
      <c r="U125" s="3"/>
      <c r="V125" s="7">
        <f t="shared" si="27"/>
        <v>1.1458004502491905E-2</v>
      </c>
      <c r="W125" s="3"/>
      <c r="X125" s="8">
        <f t="shared" si="28"/>
        <v>477.05000000000018</v>
      </c>
      <c r="Y125" s="3"/>
      <c r="Z125" s="7">
        <f t="shared" si="29"/>
        <v>9.5572473204447603E-2</v>
      </c>
    </row>
    <row r="126" spans="1:26" s="24" customFormat="1" hidden="1" outlineLevel="2" x14ac:dyDescent="0.3">
      <c r="A126" s="27"/>
      <c r="B126" s="12" t="str">
        <f>CONCATENATE("          ", "6119", " - ", "SICK LEAVE")</f>
        <v xml:space="preserve">          6119 - SICK LEAVE</v>
      </c>
      <c r="C126" s="12"/>
      <c r="D126" s="8">
        <v>3967.23</v>
      </c>
      <c r="E126" s="3"/>
      <c r="F126" s="7">
        <f t="shared" si="22"/>
        <v>1.2562296448448551E-2</v>
      </c>
      <c r="G126" s="3"/>
      <c r="H126" s="8">
        <v>3592.55</v>
      </c>
      <c r="I126" s="3"/>
      <c r="J126" s="7">
        <f t="shared" si="23"/>
        <v>8.2467102224636473E-3</v>
      </c>
      <c r="K126" s="3"/>
      <c r="L126" s="8">
        <f t="shared" si="24"/>
        <v>374.67999999999984</v>
      </c>
      <c r="M126" s="3"/>
      <c r="N126" s="7">
        <f t="shared" si="25"/>
        <v>0.10429360760462619</v>
      </c>
      <c r="O126" s="12"/>
      <c r="P126" s="8">
        <v>3967.23</v>
      </c>
      <c r="Q126" s="3"/>
      <c r="R126" s="7">
        <f t="shared" si="26"/>
        <v>1.2562296448448551E-2</v>
      </c>
      <c r="S126" s="3"/>
      <c r="T126" s="8">
        <v>3592.55</v>
      </c>
      <c r="U126" s="3"/>
      <c r="V126" s="7">
        <f t="shared" si="27"/>
        <v>8.2467102224636473E-3</v>
      </c>
      <c r="W126" s="3"/>
      <c r="X126" s="8">
        <f t="shared" si="28"/>
        <v>374.67999999999984</v>
      </c>
      <c r="Y126" s="3"/>
      <c r="Z126" s="7">
        <f t="shared" si="29"/>
        <v>0.10429360760462619</v>
      </c>
    </row>
    <row r="127" spans="1:26" s="24" customFormat="1" hidden="1" outlineLevel="2" x14ac:dyDescent="0.3">
      <c r="A127" s="27"/>
      <c r="B127" s="12" t="str">
        <f>CONCATENATE("          ", "6156", " - ", "EMPLOYEE MEALS")</f>
        <v xml:space="preserve">          6156 - EMPLOYEE MEALS</v>
      </c>
      <c r="C127" s="12"/>
      <c r="D127" s="8">
        <v>1458.7</v>
      </c>
      <c r="E127" s="3"/>
      <c r="F127" s="7">
        <f t="shared" si="22"/>
        <v>4.6189965868759569E-3</v>
      </c>
      <c r="G127" s="3"/>
      <c r="H127" s="8">
        <v>1194.25</v>
      </c>
      <c r="I127" s="3"/>
      <c r="J127" s="7">
        <f t="shared" si="23"/>
        <v>2.7414047635181725E-3</v>
      </c>
      <c r="K127" s="3"/>
      <c r="L127" s="8">
        <f t="shared" si="24"/>
        <v>264.45000000000005</v>
      </c>
      <c r="M127" s="3"/>
      <c r="N127" s="7">
        <f t="shared" si="25"/>
        <v>0.22143604772870007</v>
      </c>
      <c r="O127" s="12"/>
      <c r="P127" s="8">
        <v>1458.7</v>
      </c>
      <c r="Q127" s="3"/>
      <c r="R127" s="7">
        <f t="shared" si="26"/>
        <v>4.6189965868759569E-3</v>
      </c>
      <c r="S127" s="3"/>
      <c r="T127" s="8">
        <v>1194.25</v>
      </c>
      <c r="U127" s="3"/>
      <c r="V127" s="7">
        <f t="shared" si="27"/>
        <v>2.7414047635181725E-3</v>
      </c>
      <c r="W127" s="3"/>
      <c r="X127" s="8">
        <f t="shared" si="28"/>
        <v>264.45000000000005</v>
      </c>
      <c r="Y127" s="3"/>
      <c r="Z127" s="7">
        <f t="shared" si="29"/>
        <v>0.22143604772870007</v>
      </c>
    </row>
    <row r="128" spans="1:26" s="29" customFormat="1" outlineLevel="1" collapsed="1" x14ac:dyDescent="0.3">
      <c r="A128" s="28"/>
      <c r="B128" s="14" t="str">
        <f>CONCATENATE("     ","*Payroll                                          ")</f>
        <v xml:space="preserve">     *Payroll                                          </v>
      </c>
      <c r="C128" s="14"/>
      <c r="D128" s="1">
        <f>SUM(OSRRefD22_1x_0)</f>
        <v>176783.51</v>
      </c>
      <c r="E128" s="1"/>
      <c r="F128" s="5">
        <f t="shared" ref="F128:F135" si="30">IF(D$12=0,0,D128/D$12)</f>
        <v>0.55978777631175136</v>
      </c>
      <c r="G128" s="1"/>
      <c r="H128" s="1">
        <f>SUM(OSRRefH22_1x_0)</f>
        <v>126895.38000000002</v>
      </c>
      <c r="I128" s="1"/>
      <c r="J128" s="5">
        <f t="shared" ref="J128:J135" si="31">IF(H$12=0,0,H128/H$12)</f>
        <v>0.29128875796562587</v>
      </c>
      <c r="K128" s="1"/>
      <c r="L128" s="1">
        <f t="shared" ref="L128:L135" si="32">+D128-H128</f>
        <v>49888.12999999999</v>
      </c>
      <c r="M128" s="1"/>
      <c r="N128" s="5">
        <f t="shared" ref="N128:N135" si="33">IF(H128=0,0,L128/H128)</f>
        <v>0.39314378506136299</v>
      </c>
      <c r="O128" s="14"/>
      <c r="P128" s="1">
        <f>SUM(OSRRefP22_1x_0)</f>
        <v>176783.51</v>
      </c>
      <c r="Q128" s="1"/>
      <c r="R128" s="5">
        <f t="shared" ref="R128:R135" si="34">IF(P$12=0,0,P128/P$12)</f>
        <v>0.55978777631175136</v>
      </c>
      <c r="S128" s="1"/>
      <c r="T128" s="1">
        <f>SUM(OSRRefT22_1x_0)</f>
        <v>126895.38000000002</v>
      </c>
      <c r="U128" s="1"/>
      <c r="V128" s="5">
        <f t="shared" ref="V128:V135" si="35">IF(T$12=0,0,T128/T$12)</f>
        <v>0.29128875796562587</v>
      </c>
      <c r="W128" s="1"/>
      <c r="X128" s="1">
        <f t="shared" ref="X128:X135" si="36">+P128-T128</f>
        <v>49888.12999999999</v>
      </c>
      <c r="Y128" s="1"/>
      <c r="Z128" s="5">
        <f t="shared" ref="Z128:Z135" si="37">IF(T128=0,0,X128/T128)</f>
        <v>0.39314378506136299</v>
      </c>
    </row>
    <row r="129" spans="1:26" s="24" customFormat="1" hidden="1" outlineLevel="2" x14ac:dyDescent="0.3">
      <c r="A129" s="27"/>
      <c r="B129" s="12" t="str">
        <f>CONCATENATE("          ", "6001", " - ", "ADMINISTRATIVE SALARIES")</f>
        <v xml:space="preserve">          6001 - ADMINISTRATIVE SALARIES</v>
      </c>
      <c r="C129" s="12"/>
      <c r="D129" s="8">
        <v>5599.1</v>
      </c>
      <c r="E129" s="3"/>
      <c r="F129" s="7">
        <f t="shared" si="30"/>
        <v>1.7729638575154024E-2</v>
      </c>
      <c r="G129" s="3"/>
      <c r="H129" s="8">
        <v>4525.8500000000004</v>
      </c>
      <c r="I129" s="3"/>
      <c r="J129" s="7">
        <f t="shared" si="31"/>
        <v>1.0389103411319841E-2</v>
      </c>
      <c r="K129" s="3"/>
      <c r="L129" s="8">
        <f t="shared" si="32"/>
        <v>1073.25</v>
      </c>
      <c r="M129" s="3"/>
      <c r="N129" s="7">
        <f t="shared" si="33"/>
        <v>0.23713777522454343</v>
      </c>
      <c r="O129" s="12"/>
      <c r="P129" s="8">
        <v>5599.1</v>
      </c>
      <c r="Q129" s="3"/>
      <c r="R129" s="7">
        <f t="shared" si="34"/>
        <v>1.7729638575154024E-2</v>
      </c>
      <c r="S129" s="3"/>
      <c r="T129" s="8">
        <v>4525.8500000000004</v>
      </c>
      <c r="U129" s="3"/>
      <c r="V129" s="7">
        <f t="shared" si="35"/>
        <v>1.0389103411319841E-2</v>
      </c>
      <c r="W129" s="3"/>
      <c r="X129" s="8">
        <f t="shared" si="36"/>
        <v>1073.25</v>
      </c>
      <c r="Y129" s="3"/>
      <c r="Z129" s="7">
        <f t="shared" si="37"/>
        <v>0.23713777522454343</v>
      </c>
    </row>
    <row r="130" spans="1:26" s="24" customFormat="1" hidden="1" outlineLevel="2" x14ac:dyDescent="0.3">
      <c r="A130" s="27"/>
      <c r="B130" s="12" t="str">
        <f>CONCATENATE("          ", "6002", " - ", "STAFF SALARIES")</f>
        <v xml:space="preserve">          6002 - STAFF SALARIES</v>
      </c>
      <c r="C130" s="12"/>
      <c r="D130" s="8">
        <v>73650.66</v>
      </c>
      <c r="E130" s="3"/>
      <c r="F130" s="7">
        <f t="shared" si="30"/>
        <v>0.23321597803603317</v>
      </c>
      <c r="G130" s="3"/>
      <c r="H130" s="8">
        <v>67061.47</v>
      </c>
      <c r="I130" s="3"/>
      <c r="J130" s="7">
        <f t="shared" si="31"/>
        <v>0.15393982273940215</v>
      </c>
      <c r="K130" s="3"/>
      <c r="L130" s="8">
        <f t="shared" si="32"/>
        <v>6589.1900000000023</v>
      </c>
      <c r="M130" s="3"/>
      <c r="N130" s="7">
        <f t="shared" si="33"/>
        <v>9.8255973213829076E-2</v>
      </c>
      <c r="O130" s="12"/>
      <c r="P130" s="8">
        <v>73650.66</v>
      </c>
      <c r="Q130" s="3"/>
      <c r="R130" s="7">
        <f t="shared" si="34"/>
        <v>0.23321597803603317</v>
      </c>
      <c r="S130" s="3"/>
      <c r="T130" s="8">
        <v>67061.47</v>
      </c>
      <c r="U130" s="3"/>
      <c r="V130" s="7">
        <f t="shared" si="35"/>
        <v>0.15393982273940215</v>
      </c>
      <c r="W130" s="3"/>
      <c r="X130" s="8">
        <f t="shared" si="36"/>
        <v>6589.1900000000023</v>
      </c>
      <c r="Y130" s="3"/>
      <c r="Z130" s="7">
        <f t="shared" si="37"/>
        <v>9.8255973213829076E-2</v>
      </c>
    </row>
    <row r="131" spans="1:26" s="24" customFormat="1" hidden="1" outlineLevel="2" x14ac:dyDescent="0.3">
      <c r="A131" s="27"/>
      <c r="B131" s="12" t="str">
        <f>CONCATENATE("          ", "6004", " - ", "STAFF HOURLY")</f>
        <v xml:space="preserve">          6004 - STAFF HOURLY</v>
      </c>
      <c r="C131" s="12"/>
      <c r="D131" s="8">
        <v>18694.88</v>
      </c>
      <c r="E131" s="3"/>
      <c r="F131" s="7">
        <f t="shared" si="30"/>
        <v>5.9197632763457596E-2</v>
      </c>
      <c r="G131" s="3"/>
      <c r="H131" s="8">
        <v>18737.27</v>
      </c>
      <c r="I131" s="3"/>
      <c r="J131" s="7">
        <f t="shared" si="31"/>
        <v>4.3011464294181408E-2</v>
      </c>
      <c r="K131" s="3"/>
      <c r="L131" s="8">
        <f t="shared" si="32"/>
        <v>-42.389999999999418</v>
      </c>
      <c r="M131" s="3"/>
      <c r="N131" s="7">
        <f t="shared" si="33"/>
        <v>-2.2623359753048025E-3</v>
      </c>
      <c r="O131" s="12"/>
      <c r="P131" s="8">
        <v>18694.88</v>
      </c>
      <c r="Q131" s="3"/>
      <c r="R131" s="7">
        <f t="shared" si="34"/>
        <v>5.9197632763457596E-2</v>
      </c>
      <c r="S131" s="3"/>
      <c r="T131" s="8">
        <v>18737.27</v>
      </c>
      <c r="U131" s="3"/>
      <c r="V131" s="7">
        <f t="shared" si="35"/>
        <v>4.3011464294181408E-2</v>
      </c>
      <c r="W131" s="3"/>
      <c r="X131" s="8">
        <f t="shared" si="36"/>
        <v>-42.389999999999418</v>
      </c>
      <c r="Y131" s="3"/>
      <c r="Z131" s="7">
        <f t="shared" si="37"/>
        <v>-2.2623359753048025E-3</v>
      </c>
    </row>
    <row r="132" spans="1:26" s="24" customFormat="1" hidden="1" outlineLevel="2" x14ac:dyDescent="0.3">
      <c r="A132" s="27"/>
      <c r="B132" s="12" t="str">
        <f>CONCATENATE("          ", "6005", " - ", "TEMPORARY WAGES-HOURLY")</f>
        <v xml:space="preserve">          6005 - TEMPORARY WAGES-HOURLY</v>
      </c>
      <c r="C132" s="12"/>
      <c r="D132" s="8">
        <v>9447.7999999999993</v>
      </c>
      <c r="E132" s="3"/>
      <c r="F132" s="7">
        <f t="shared" si="30"/>
        <v>2.9916607906688601E-2</v>
      </c>
      <c r="G132" s="3"/>
      <c r="H132" s="8">
        <v>12385.55</v>
      </c>
      <c r="I132" s="3"/>
      <c r="J132" s="7">
        <f t="shared" si="31"/>
        <v>2.8431070352767426E-2</v>
      </c>
      <c r="K132" s="3"/>
      <c r="L132" s="8">
        <f t="shared" si="32"/>
        <v>-2937.75</v>
      </c>
      <c r="M132" s="3"/>
      <c r="N132" s="7">
        <f t="shared" si="33"/>
        <v>-0.23719172745659259</v>
      </c>
      <c r="O132" s="12"/>
      <c r="P132" s="8">
        <v>9447.7999999999993</v>
      </c>
      <c r="Q132" s="3"/>
      <c r="R132" s="7">
        <f t="shared" si="34"/>
        <v>2.9916607906688601E-2</v>
      </c>
      <c r="S132" s="3"/>
      <c r="T132" s="8">
        <v>12385.55</v>
      </c>
      <c r="U132" s="3"/>
      <c r="V132" s="7">
        <f t="shared" si="35"/>
        <v>2.8431070352767426E-2</v>
      </c>
      <c r="W132" s="3"/>
      <c r="X132" s="8">
        <f t="shared" si="36"/>
        <v>-2937.75</v>
      </c>
      <c r="Y132" s="3"/>
      <c r="Z132" s="7">
        <f t="shared" si="37"/>
        <v>-0.23719172745659259</v>
      </c>
    </row>
    <row r="133" spans="1:26" s="24" customFormat="1" hidden="1" outlineLevel="2" x14ac:dyDescent="0.3">
      <c r="A133" s="27"/>
      <c r="B133" s="12" t="str">
        <f>CONCATENATE("          ", "6006", " - ", "TEMPORARY PART TIME")</f>
        <v xml:space="preserve">          6006 - TEMPORARY PART TIME</v>
      </c>
      <c r="C133" s="12"/>
      <c r="D133" s="8">
        <v>2864.4</v>
      </c>
      <c r="E133" s="3"/>
      <c r="F133" s="7">
        <f t="shared" si="30"/>
        <v>9.0701678367364723E-3</v>
      </c>
      <c r="G133" s="3"/>
      <c r="H133" s="8">
        <v>2048.21</v>
      </c>
      <c r="I133" s="3"/>
      <c r="J133" s="7">
        <f t="shared" si="31"/>
        <v>4.7016727240406578E-3</v>
      </c>
      <c r="K133" s="3"/>
      <c r="L133" s="8">
        <f t="shared" si="32"/>
        <v>816.19</v>
      </c>
      <c r="M133" s="3"/>
      <c r="N133" s="7">
        <f t="shared" si="33"/>
        <v>0.3984894127067049</v>
      </c>
      <c r="O133" s="12"/>
      <c r="P133" s="8">
        <v>2864.4</v>
      </c>
      <c r="Q133" s="3"/>
      <c r="R133" s="7">
        <f t="shared" si="34"/>
        <v>9.0701678367364723E-3</v>
      </c>
      <c r="S133" s="3"/>
      <c r="T133" s="8">
        <v>2048.21</v>
      </c>
      <c r="U133" s="3"/>
      <c r="V133" s="7">
        <f t="shared" si="35"/>
        <v>4.7016727240406578E-3</v>
      </c>
      <c r="W133" s="3"/>
      <c r="X133" s="8">
        <f t="shared" si="36"/>
        <v>816.19</v>
      </c>
      <c r="Y133" s="3"/>
      <c r="Z133" s="7">
        <f t="shared" si="37"/>
        <v>0.3984894127067049</v>
      </c>
    </row>
    <row r="134" spans="1:26" s="24" customFormat="1" hidden="1" outlineLevel="2" x14ac:dyDescent="0.3">
      <c r="A134" s="27"/>
      <c r="B134" s="12" t="str">
        <f>CONCATENATE("          ", "6007", " - ", "STUDENT HOURLY")</f>
        <v xml:space="preserve">          6007 - STUDENT HOURLY</v>
      </c>
      <c r="C134" s="12"/>
      <c r="D134" s="8">
        <v>56742.32</v>
      </c>
      <c r="E134" s="3"/>
      <c r="F134" s="7">
        <f t="shared" si="30"/>
        <v>0.1796754523969448</v>
      </c>
      <c r="G134" s="3"/>
      <c r="H134" s="8">
        <v>22137.03</v>
      </c>
      <c r="I134" s="3"/>
      <c r="J134" s="7">
        <f t="shared" si="31"/>
        <v>5.0815624443914326E-2</v>
      </c>
      <c r="K134" s="3"/>
      <c r="L134" s="8">
        <f t="shared" si="32"/>
        <v>34605.29</v>
      </c>
      <c r="M134" s="3"/>
      <c r="N134" s="7">
        <f t="shared" si="33"/>
        <v>1.5632309302557752</v>
      </c>
      <c r="O134" s="12"/>
      <c r="P134" s="8">
        <v>56742.32</v>
      </c>
      <c r="Q134" s="3"/>
      <c r="R134" s="7">
        <f t="shared" si="34"/>
        <v>0.1796754523969448</v>
      </c>
      <c r="S134" s="3"/>
      <c r="T134" s="8">
        <v>22137.03</v>
      </c>
      <c r="U134" s="3"/>
      <c r="V134" s="7">
        <f t="shared" si="35"/>
        <v>5.0815624443914326E-2</v>
      </c>
      <c r="W134" s="3"/>
      <c r="X134" s="8">
        <f t="shared" si="36"/>
        <v>34605.29</v>
      </c>
      <c r="Y134" s="3"/>
      <c r="Z134" s="7">
        <f t="shared" si="37"/>
        <v>1.5632309302557752</v>
      </c>
    </row>
    <row r="135" spans="1:26" s="24" customFormat="1" hidden="1" outlineLevel="2" x14ac:dyDescent="0.3">
      <c r="A135" s="27"/>
      <c r="B135" s="12" t="str">
        <f>CONCATENATE("          ", "6008", " - ", "STUDENT HOURLY-FICA EXEMPT")</f>
        <v xml:space="preserve">          6008 - STUDENT HOURLY-FICA EXEMPT</v>
      </c>
      <c r="C135" s="12"/>
      <c r="D135" s="8">
        <v>9784.35</v>
      </c>
      <c r="E135" s="3"/>
      <c r="F135" s="7">
        <f t="shared" si="30"/>
        <v>3.0982298796736665E-2</v>
      </c>
      <c r="G135" s="3"/>
      <c r="H135" s="8"/>
      <c r="I135" s="3"/>
      <c r="J135" s="7">
        <f t="shared" si="31"/>
        <v>0</v>
      </c>
      <c r="K135" s="3"/>
      <c r="L135" s="8">
        <f t="shared" si="32"/>
        <v>9784.35</v>
      </c>
      <c r="M135" s="3"/>
      <c r="N135" s="7">
        <f t="shared" si="33"/>
        <v>0</v>
      </c>
      <c r="O135" s="12"/>
      <c r="P135" s="8">
        <v>9784.35</v>
      </c>
      <c r="Q135" s="3"/>
      <c r="R135" s="7">
        <f t="shared" si="34"/>
        <v>3.0982298796736665E-2</v>
      </c>
      <c r="S135" s="3"/>
      <c r="T135" s="8"/>
      <c r="U135" s="3"/>
      <c r="V135" s="7">
        <f t="shared" si="35"/>
        <v>0</v>
      </c>
      <c r="W135" s="3"/>
      <c r="X135" s="8">
        <f t="shared" si="36"/>
        <v>9784.35</v>
      </c>
      <c r="Y135" s="3"/>
      <c r="Z135" s="7">
        <f t="shared" si="37"/>
        <v>0</v>
      </c>
    </row>
    <row r="136" spans="1:26" s="29" customFormat="1" outlineLevel="1" collapsed="1" x14ac:dyDescent="0.3">
      <c r="A136" s="28"/>
      <c r="B136" s="14" t="str">
        <f>CONCATENATE("     ","Advertising/Promo                                 ")</f>
        <v xml:space="preserve">     Advertising/Promo                                 </v>
      </c>
      <c r="C136" s="14"/>
      <c r="D136" s="1">
        <f>SUM(OSRRefD22_2x_0)</f>
        <v>539.04999999999995</v>
      </c>
      <c r="E136" s="1"/>
      <c r="F136" s="5">
        <f t="shared" ref="F136:F144" si="38">IF(D$12=0,0,D136/D$12)</f>
        <v>1.7069103380787582E-3</v>
      </c>
      <c r="G136" s="1"/>
      <c r="H136" s="1">
        <f>SUM(OSRRefH22_2x_0)</f>
        <v>2740.48</v>
      </c>
      <c r="I136" s="1"/>
      <c r="J136" s="5">
        <f t="shared" ref="J136:J144" si="39">IF(H$12=0,0,H136/H$12)</f>
        <v>6.2907807630950647E-3</v>
      </c>
      <c r="K136" s="1"/>
      <c r="L136" s="1">
        <f t="shared" ref="L136:L144" si="40">+D136-H136</f>
        <v>-2201.4300000000003</v>
      </c>
      <c r="M136" s="1"/>
      <c r="N136" s="5">
        <f t="shared" ref="N136:N144" si="41">IF(H136=0,0,L136/H136)</f>
        <v>-0.80330088159738455</v>
      </c>
      <c r="O136" s="14"/>
      <c r="P136" s="1">
        <f>SUM(OSRRefP22_2x_0)</f>
        <v>539.04999999999995</v>
      </c>
      <c r="Q136" s="1"/>
      <c r="R136" s="5">
        <f t="shared" ref="R136:R144" si="42">IF(P$12=0,0,P136/P$12)</f>
        <v>1.7069103380787582E-3</v>
      </c>
      <c r="S136" s="1"/>
      <c r="T136" s="1">
        <f>SUM(OSRRefT22_2x_0)</f>
        <v>2740.48</v>
      </c>
      <c r="U136" s="1"/>
      <c r="V136" s="5">
        <f t="shared" ref="V136:V144" si="43">IF(T$12=0,0,T136/T$12)</f>
        <v>6.2907807630950647E-3</v>
      </c>
      <c r="W136" s="1"/>
      <c r="X136" s="1">
        <f t="shared" ref="X136:X144" si="44">+P136-T136</f>
        <v>-2201.4300000000003</v>
      </c>
      <c r="Y136" s="1"/>
      <c r="Z136" s="5">
        <f t="shared" ref="Z136:Z144" si="45">IF(T136=0,0,X136/T136)</f>
        <v>-0.80330088159738455</v>
      </c>
    </row>
    <row r="137" spans="1:26" s="24" customFormat="1" hidden="1" outlineLevel="2" x14ac:dyDescent="0.3">
      <c r="A137" s="27"/>
      <c r="B137" s="12" t="str">
        <f>CONCATENATE("          ", "6362", " - ", "ADVERTISING EXPENSE")</f>
        <v xml:space="preserve">          6362 - ADVERTISING EXPENSE</v>
      </c>
      <c r="C137" s="12"/>
      <c r="D137" s="8">
        <v>539.04999999999995</v>
      </c>
      <c r="E137" s="3"/>
      <c r="F137" s="7">
        <f t="shared" si="38"/>
        <v>1.7069103380787582E-3</v>
      </c>
      <c r="G137" s="3"/>
      <c r="H137" s="8">
        <v>2740.48</v>
      </c>
      <c r="I137" s="3"/>
      <c r="J137" s="7">
        <f t="shared" si="39"/>
        <v>6.2907807630950647E-3</v>
      </c>
      <c r="K137" s="3"/>
      <c r="L137" s="8">
        <f t="shared" si="40"/>
        <v>-2201.4300000000003</v>
      </c>
      <c r="M137" s="3"/>
      <c r="N137" s="7">
        <f t="shared" si="41"/>
        <v>-0.80330088159738455</v>
      </c>
      <c r="O137" s="12"/>
      <c r="P137" s="8">
        <v>539.04999999999995</v>
      </c>
      <c r="Q137" s="3"/>
      <c r="R137" s="7">
        <f t="shared" si="42"/>
        <v>1.7069103380787582E-3</v>
      </c>
      <c r="S137" s="3"/>
      <c r="T137" s="8">
        <v>2740.48</v>
      </c>
      <c r="U137" s="3"/>
      <c r="V137" s="7">
        <f t="shared" si="43"/>
        <v>6.2907807630950647E-3</v>
      </c>
      <c r="W137" s="3"/>
      <c r="X137" s="8">
        <f t="shared" si="44"/>
        <v>-2201.4300000000003</v>
      </c>
      <c r="Y137" s="3"/>
      <c r="Z137" s="7">
        <f t="shared" si="45"/>
        <v>-0.80330088159738455</v>
      </c>
    </row>
    <row r="138" spans="1:26" s="29" customFormat="1" outlineLevel="1" collapsed="1" x14ac:dyDescent="0.3">
      <c r="A138" s="28"/>
      <c r="B138" s="14" t="str">
        <f>CONCATENATE("     ","Bad Debts/Over/Short                              ")</f>
        <v xml:space="preserve">     Bad Debts/Over/Short                              </v>
      </c>
      <c r="C138" s="14"/>
      <c r="D138" s="1">
        <f>SUM(OSRRefD22_3x_0)</f>
        <v>1.27</v>
      </c>
      <c r="E138" s="1"/>
      <c r="F138" s="5">
        <f t="shared" si="38"/>
        <v>4.0214750567851272E-6</v>
      </c>
      <c r="G138" s="1"/>
      <c r="H138" s="1">
        <f>SUM(OSRRefH22_3x_0)</f>
        <v>4.9800000000000004</v>
      </c>
      <c r="I138" s="1"/>
      <c r="J138" s="5">
        <f t="shared" si="39"/>
        <v>1.1431606215047519E-5</v>
      </c>
      <c r="K138" s="1"/>
      <c r="L138" s="1">
        <f t="shared" si="40"/>
        <v>-3.7100000000000004</v>
      </c>
      <c r="M138" s="1"/>
      <c r="N138" s="5">
        <f t="shared" si="41"/>
        <v>-0.74497991967871491</v>
      </c>
      <c r="O138" s="14"/>
      <c r="P138" s="1">
        <f>SUM(OSRRefP22_3x_0)</f>
        <v>1.27</v>
      </c>
      <c r="Q138" s="1"/>
      <c r="R138" s="5">
        <f t="shared" si="42"/>
        <v>4.0214750567851272E-6</v>
      </c>
      <c r="S138" s="1"/>
      <c r="T138" s="1">
        <f>SUM(OSRRefT22_3x_0)</f>
        <v>4.9800000000000004</v>
      </c>
      <c r="U138" s="1"/>
      <c r="V138" s="5">
        <f t="shared" si="43"/>
        <v>1.1431606215047519E-5</v>
      </c>
      <c r="W138" s="1"/>
      <c r="X138" s="1">
        <f t="shared" si="44"/>
        <v>-3.7100000000000004</v>
      </c>
      <c r="Y138" s="1"/>
      <c r="Z138" s="5">
        <f t="shared" si="45"/>
        <v>-0.74497991967871491</v>
      </c>
    </row>
    <row r="139" spans="1:26" s="24" customFormat="1" hidden="1" outlineLevel="2" x14ac:dyDescent="0.3">
      <c r="A139" s="27"/>
      <c r="B139" s="12" t="str">
        <f>CONCATENATE("          ", "6272", " - ", "CASH (OVER/SHORT)")</f>
        <v xml:space="preserve">          6272 - CASH (OVER/SHORT)</v>
      </c>
      <c r="C139" s="12"/>
      <c r="D139" s="8">
        <v>1.27</v>
      </c>
      <c r="E139" s="3"/>
      <c r="F139" s="7">
        <f t="shared" si="38"/>
        <v>4.0214750567851272E-6</v>
      </c>
      <c r="G139" s="3"/>
      <c r="H139" s="8">
        <v>4.9800000000000004</v>
      </c>
      <c r="I139" s="3"/>
      <c r="J139" s="7">
        <f t="shared" si="39"/>
        <v>1.1431606215047519E-5</v>
      </c>
      <c r="K139" s="3"/>
      <c r="L139" s="8">
        <f t="shared" si="40"/>
        <v>-3.7100000000000004</v>
      </c>
      <c r="M139" s="3"/>
      <c r="N139" s="7">
        <f t="shared" si="41"/>
        <v>-0.74497991967871491</v>
      </c>
      <c r="O139" s="12"/>
      <c r="P139" s="8">
        <v>1.27</v>
      </c>
      <c r="Q139" s="3"/>
      <c r="R139" s="7">
        <f t="shared" si="42"/>
        <v>4.0214750567851272E-6</v>
      </c>
      <c r="S139" s="3"/>
      <c r="T139" s="8">
        <v>4.9800000000000004</v>
      </c>
      <c r="U139" s="3"/>
      <c r="V139" s="7">
        <f t="shared" si="43"/>
        <v>1.1431606215047519E-5</v>
      </c>
      <c r="W139" s="3"/>
      <c r="X139" s="8">
        <f t="shared" si="44"/>
        <v>-3.7100000000000004</v>
      </c>
      <c r="Y139" s="3"/>
      <c r="Z139" s="7">
        <f t="shared" si="45"/>
        <v>-0.74497991967871491</v>
      </c>
    </row>
    <row r="140" spans="1:26" s="29" customFormat="1" outlineLevel="1" collapsed="1" x14ac:dyDescent="0.3">
      <c r="A140" s="28"/>
      <c r="B140" s="14" t="str">
        <f>CONCATENATE("     ","Bank/card Fees                                    ")</f>
        <v xml:space="preserve">     Bank/card Fees                                    </v>
      </c>
      <c r="C140" s="14"/>
      <c r="D140" s="1">
        <f>SUM(OSRRefD22_4x_0)</f>
        <v>3961.88</v>
      </c>
      <c r="E140" s="1"/>
      <c r="F140" s="5">
        <f t="shared" si="38"/>
        <v>1.2545355588957372E-2</v>
      </c>
      <c r="G140" s="1"/>
      <c r="H140" s="1">
        <f>SUM(OSRRefH22_4x_0)</f>
        <v>3117.21</v>
      </c>
      <c r="I140" s="1"/>
      <c r="J140" s="5">
        <f t="shared" si="39"/>
        <v>7.1555657047406174E-3</v>
      </c>
      <c r="K140" s="1"/>
      <c r="L140" s="1">
        <f t="shared" si="40"/>
        <v>844.67000000000007</v>
      </c>
      <c r="M140" s="1"/>
      <c r="N140" s="5">
        <f t="shared" si="41"/>
        <v>0.27096987370116227</v>
      </c>
      <c r="O140" s="14"/>
      <c r="P140" s="1">
        <f>SUM(OSRRefP22_4x_0)</f>
        <v>3961.88</v>
      </c>
      <c r="Q140" s="1"/>
      <c r="R140" s="5">
        <f t="shared" si="42"/>
        <v>1.2545355588957372E-2</v>
      </c>
      <c r="S140" s="1"/>
      <c r="T140" s="1">
        <f>SUM(OSRRefT22_4x_0)</f>
        <v>3117.21</v>
      </c>
      <c r="U140" s="1"/>
      <c r="V140" s="5">
        <f t="shared" si="43"/>
        <v>7.1555657047406174E-3</v>
      </c>
      <c r="W140" s="1"/>
      <c r="X140" s="1">
        <f t="shared" si="44"/>
        <v>844.67000000000007</v>
      </c>
      <c r="Y140" s="1"/>
      <c r="Z140" s="5">
        <f t="shared" si="45"/>
        <v>0.27096987370116227</v>
      </c>
    </row>
    <row r="141" spans="1:26" s="24" customFormat="1" hidden="1" outlineLevel="2" x14ac:dyDescent="0.3">
      <c r="A141" s="27"/>
      <c r="B141" s="12" t="str">
        <f>CONCATENATE("          ", "6381", " - ", "BANK/CREDIT CARD FEES")</f>
        <v xml:space="preserve">          6381 - BANK/CREDIT CARD FEES</v>
      </c>
      <c r="C141" s="12"/>
      <c r="D141" s="8">
        <v>3961.88</v>
      </c>
      <c r="E141" s="3"/>
      <c r="F141" s="7">
        <f t="shared" si="38"/>
        <v>1.2545355588957372E-2</v>
      </c>
      <c r="G141" s="3"/>
      <c r="H141" s="8">
        <v>3117.21</v>
      </c>
      <c r="I141" s="3"/>
      <c r="J141" s="7">
        <f t="shared" si="39"/>
        <v>7.1555657047406174E-3</v>
      </c>
      <c r="K141" s="3"/>
      <c r="L141" s="8">
        <f t="shared" si="40"/>
        <v>844.67000000000007</v>
      </c>
      <c r="M141" s="3"/>
      <c r="N141" s="7">
        <f t="shared" si="41"/>
        <v>0.27096987370116227</v>
      </c>
      <c r="O141" s="12"/>
      <c r="P141" s="8">
        <v>3961.88</v>
      </c>
      <c r="Q141" s="3"/>
      <c r="R141" s="7">
        <f t="shared" si="42"/>
        <v>1.2545355588957372E-2</v>
      </c>
      <c r="S141" s="3"/>
      <c r="T141" s="8">
        <v>3117.21</v>
      </c>
      <c r="U141" s="3"/>
      <c r="V141" s="7">
        <f t="shared" si="43"/>
        <v>7.1555657047406174E-3</v>
      </c>
      <c r="W141" s="3"/>
      <c r="X141" s="8">
        <f t="shared" si="44"/>
        <v>844.67000000000007</v>
      </c>
      <c r="Y141" s="3"/>
      <c r="Z141" s="7">
        <f t="shared" si="45"/>
        <v>0.27096987370116227</v>
      </c>
    </row>
    <row r="142" spans="1:26" s="29" customFormat="1" outlineLevel="1" collapsed="1" x14ac:dyDescent="0.3">
      <c r="A142" s="28"/>
      <c r="B142" s="14" t="str">
        <f>CONCATENATE("     ","Depreciation                                      ")</f>
        <v xml:space="preserve">     Depreciation                                      </v>
      </c>
      <c r="C142" s="14"/>
      <c r="D142" s="1">
        <f>SUM(OSRRefD22_5x_0)</f>
        <v>31001.120000000003</v>
      </c>
      <c r="E142" s="1"/>
      <c r="F142" s="5">
        <f t="shared" si="38"/>
        <v>9.8165536072757922E-2</v>
      </c>
      <c r="G142" s="1"/>
      <c r="H142" s="1">
        <f>SUM(OSRRefH22_5x_0)</f>
        <v>30627.300000000003</v>
      </c>
      <c r="I142" s="1"/>
      <c r="J142" s="5">
        <f t="shared" si="39"/>
        <v>7.0305066873519048E-2</v>
      </c>
      <c r="K142" s="1"/>
      <c r="L142" s="1">
        <f t="shared" si="40"/>
        <v>373.81999999999971</v>
      </c>
      <c r="M142" s="1"/>
      <c r="N142" s="5">
        <f t="shared" si="41"/>
        <v>1.2205450692682661E-2</v>
      </c>
      <c r="O142" s="14"/>
      <c r="P142" s="1">
        <f>SUM(OSRRefP22_5x_0)</f>
        <v>31001.120000000003</v>
      </c>
      <c r="Q142" s="1"/>
      <c r="R142" s="5">
        <f t="shared" si="42"/>
        <v>9.8165536072757922E-2</v>
      </c>
      <c r="S142" s="1"/>
      <c r="T142" s="1">
        <f>SUM(OSRRefT22_5x_0)</f>
        <v>30627.300000000003</v>
      </c>
      <c r="U142" s="1"/>
      <c r="V142" s="5">
        <f t="shared" si="43"/>
        <v>7.0305066873519048E-2</v>
      </c>
      <c r="W142" s="1"/>
      <c r="X142" s="1">
        <f t="shared" si="44"/>
        <v>373.81999999999971</v>
      </c>
      <c r="Y142" s="1"/>
      <c r="Z142" s="5">
        <f t="shared" si="45"/>
        <v>1.2205450692682661E-2</v>
      </c>
    </row>
    <row r="143" spans="1:26" s="24" customFormat="1" hidden="1" outlineLevel="2" x14ac:dyDescent="0.3">
      <c r="A143" s="27"/>
      <c r="B143" s="12" t="str">
        <f>CONCATENATE("          ", "6321", " - ", "BUILDING DEPRECIATION")</f>
        <v xml:space="preserve">          6321 - BUILDING DEPRECIATION</v>
      </c>
      <c r="C143" s="12"/>
      <c r="D143" s="8">
        <v>16396.52</v>
      </c>
      <c r="E143" s="3"/>
      <c r="F143" s="7">
        <f t="shared" si="38"/>
        <v>5.1919839526046049E-2</v>
      </c>
      <c r="G143" s="3"/>
      <c r="H143" s="8">
        <v>16396.52</v>
      </c>
      <c r="I143" s="3"/>
      <c r="J143" s="7">
        <f t="shared" si="39"/>
        <v>3.7638265047620668E-2</v>
      </c>
      <c r="K143" s="3"/>
      <c r="L143" s="8">
        <f t="shared" si="40"/>
        <v>0</v>
      </c>
      <c r="M143" s="3"/>
      <c r="N143" s="7">
        <f t="shared" si="41"/>
        <v>0</v>
      </c>
      <c r="O143" s="12"/>
      <c r="P143" s="8">
        <v>16396.52</v>
      </c>
      <c r="Q143" s="3"/>
      <c r="R143" s="7">
        <f t="shared" si="42"/>
        <v>5.1919839526046049E-2</v>
      </c>
      <c r="S143" s="3"/>
      <c r="T143" s="8">
        <v>16396.52</v>
      </c>
      <c r="U143" s="3"/>
      <c r="V143" s="7">
        <f t="shared" si="43"/>
        <v>3.7638265047620668E-2</v>
      </c>
      <c r="W143" s="3"/>
      <c r="X143" s="8">
        <f t="shared" si="44"/>
        <v>0</v>
      </c>
      <c r="Y143" s="3"/>
      <c r="Z143" s="7">
        <f t="shared" si="45"/>
        <v>0</v>
      </c>
    </row>
    <row r="144" spans="1:26" s="24" customFormat="1" hidden="1" outlineLevel="2" x14ac:dyDescent="0.3">
      <c r="A144" s="27"/>
      <c r="B144" s="12" t="str">
        <f>CONCATENATE("          ", "6322", " - ", "EQUIPMENT DEPRECIATION EXPENSE")</f>
        <v xml:space="preserve">          6322 - EQUIPMENT DEPRECIATION EXPENSE</v>
      </c>
      <c r="C144" s="12"/>
      <c r="D144" s="8">
        <v>14604.6</v>
      </c>
      <c r="E144" s="3"/>
      <c r="F144" s="7">
        <f t="shared" si="38"/>
        <v>4.6245696546711866E-2</v>
      </c>
      <c r="G144" s="3"/>
      <c r="H144" s="8">
        <v>14230.78</v>
      </c>
      <c r="I144" s="3"/>
      <c r="J144" s="7">
        <f t="shared" si="39"/>
        <v>3.266680182589838E-2</v>
      </c>
      <c r="K144" s="3"/>
      <c r="L144" s="8">
        <f t="shared" si="40"/>
        <v>373.81999999999971</v>
      </c>
      <c r="M144" s="3"/>
      <c r="N144" s="7">
        <f t="shared" si="41"/>
        <v>2.626841255363372E-2</v>
      </c>
      <c r="O144" s="12"/>
      <c r="P144" s="8">
        <v>14604.6</v>
      </c>
      <c r="Q144" s="3"/>
      <c r="R144" s="7">
        <f t="shared" si="42"/>
        <v>4.6245696546711866E-2</v>
      </c>
      <c r="S144" s="3"/>
      <c r="T144" s="8">
        <v>14230.78</v>
      </c>
      <c r="U144" s="3"/>
      <c r="V144" s="7">
        <f t="shared" si="43"/>
        <v>3.266680182589838E-2</v>
      </c>
      <c r="W144" s="3"/>
      <c r="X144" s="8">
        <f t="shared" si="44"/>
        <v>373.81999999999971</v>
      </c>
      <c r="Y144" s="3"/>
      <c r="Z144" s="7">
        <f t="shared" si="45"/>
        <v>2.626841255363372E-2</v>
      </c>
    </row>
    <row r="145" spans="1:26" s="29" customFormat="1" outlineLevel="1" collapsed="1" x14ac:dyDescent="0.3">
      <c r="A145" s="28"/>
      <c r="B145" s="14" t="str">
        <f>CONCATENATE("     ","Discounts and Markdowns                           ")</f>
        <v xml:space="preserve">     Discounts and Markdowns                           </v>
      </c>
      <c r="C145" s="14"/>
      <c r="D145" s="1">
        <f>SUM(OSRRefD22_6x_0)</f>
        <v>-0.68</v>
      </c>
      <c r="E145" s="1"/>
      <c r="F145" s="5">
        <f t="shared" ref="F145:F147" si="46">IF(D$12=0,0,D145/D$12)</f>
        <v>-2.1532307390660527E-6</v>
      </c>
      <c r="G145" s="1"/>
      <c r="H145" s="1">
        <f>SUM(OSRRefH22_6x_0)</f>
        <v>0</v>
      </c>
      <c r="I145" s="1"/>
      <c r="J145" s="5">
        <f t="shared" ref="J145:J147" si="47">IF(H$12=0,0,H145/H$12)</f>
        <v>0</v>
      </c>
      <c r="K145" s="1"/>
      <c r="L145" s="1">
        <f t="shared" ref="L145:L147" si="48">+D145-H145</f>
        <v>-0.68</v>
      </c>
      <c r="M145" s="1"/>
      <c r="N145" s="5">
        <f t="shared" ref="N145:N147" si="49">IF(H145=0,0,L145/H145)</f>
        <v>0</v>
      </c>
      <c r="O145" s="14"/>
      <c r="P145" s="1">
        <f>SUM(OSRRefP22_6x_0)</f>
        <v>-0.68</v>
      </c>
      <c r="Q145" s="1"/>
      <c r="R145" s="5">
        <f t="shared" ref="R145:R147" si="50">IF(P$12=0,0,P145/P$12)</f>
        <v>-2.1532307390660527E-6</v>
      </c>
      <c r="S145" s="1"/>
      <c r="T145" s="1">
        <f>SUM(OSRRefT22_6x_0)</f>
        <v>0</v>
      </c>
      <c r="U145" s="1"/>
      <c r="V145" s="5">
        <f t="shared" ref="V145:V147" si="51">IF(T$12=0,0,T145/T$12)</f>
        <v>0</v>
      </c>
      <c r="W145" s="1"/>
      <c r="X145" s="1">
        <f t="shared" ref="X145:X147" si="52">+P145-T145</f>
        <v>-0.68</v>
      </c>
      <c r="Y145" s="1"/>
      <c r="Z145" s="5">
        <f t="shared" ref="Z145:Z147" si="53">IF(T145=0,0,X145/T145)</f>
        <v>0</v>
      </c>
    </row>
    <row r="146" spans="1:26" s="24" customFormat="1" hidden="1" outlineLevel="2" x14ac:dyDescent="0.3">
      <c r="A146" s="27"/>
      <c r="B146" s="12" t="str">
        <f>CONCATENATE("          ", "6382", " - ", "DISCOUNTS/MARK DOWNS")</f>
        <v xml:space="preserve">          6382 - DISCOUNTS/MARK DOWNS</v>
      </c>
      <c r="C146" s="12"/>
      <c r="D146" s="8"/>
      <c r="E146" s="3"/>
      <c r="F146" s="7">
        <f t="shared" si="46"/>
        <v>0</v>
      </c>
      <c r="G146" s="3"/>
      <c r="H146" s="8">
        <v>0</v>
      </c>
      <c r="I146" s="3"/>
      <c r="J146" s="7">
        <f t="shared" si="47"/>
        <v>0</v>
      </c>
      <c r="K146" s="3"/>
      <c r="L146" s="8">
        <f t="shared" si="48"/>
        <v>0</v>
      </c>
      <c r="M146" s="3"/>
      <c r="N146" s="7">
        <f t="shared" si="49"/>
        <v>0</v>
      </c>
      <c r="O146" s="12"/>
      <c r="P146" s="8"/>
      <c r="Q146" s="3"/>
      <c r="R146" s="7">
        <f t="shared" si="50"/>
        <v>0</v>
      </c>
      <c r="S146" s="3"/>
      <c r="T146" s="8">
        <v>0</v>
      </c>
      <c r="U146" s="3"/>
      <c r="V146" s="7">
        <f t="shared" si="51"/>
        <v>0</v>
      </c>
      <c r="W146" s="3"/>
      <c r="X146" s="8">
        <f t="shared" si="52"/>
        <v>0</v>
      </c>
      <c r="Y146" s="3"/>
      <c r="Z146" s="7">
        <f t="shared" si="53"/>
        <v>0</v>
      </c>
    </row>
    <row r="147" spans="1:26" s="24" customFormat="1" hidden="1" outlineLevel="2" x14ac:dyDescent="0.3">
      <c r="A147" s="27"/>
      <c r="B147" s="12" t="str">
        <f>CONCATENATE("          ", "9175", " - ", "EARNED DISCOUNTS")</f>
        <v xml:space="preserve">          9175 - EARNED DISCOUNTS</v>
      </c>
      <c r="C147" s="12"/>
      <c r="D147" s="8">
        <v>-0.68</v>
      </c>
      <c r="E147" s="3"/>
      <c r="F147" s="7">
        <f t="shared" si="46"/>
        <v>-2.1532307390660527E-6</v>
      </c>
      <c r="G147" s="3"/>
      <c r="H147" s="8"/>
      <c r="I147" s="3"/>
      <c r="J147" s="7">
        <f t="shared" si="47"/>
        <v>0</v>
      </c>
      <c r="K147" s="3"/>
      <c r="L147" s="8">
        <f t="shared" si="48"/>
        <v>-0.68</v>
      </c>
      <c r="M147" s="3"/>
      <c r="N147" s="7">
        <f t="shared" si="49"/>
        <v>0</v>
      </c>
      <c r="O147" s="12"/>
      <c r="P147" s="8">
        <v>-0.68</v>
      </c>
      <c r="Q147" s="3"/>
      <c r="R147" s="7">
        <f t="shared" si="50"/>
        <v>-2.1532307390660527E-6</v>
      </c>
      <c r="S147" s="3"/>
      <c r="T147" s="8"/>
      <c r="U147" s="3"/>
      <c r="V147" s="7">
        <f t="shared" si="51"/>
        <v>0</v>
      </c>
      <c r="W147" s="3"/>
      <c r="X147" s="8">
        <f t="shared" si="52"/>
        <v>-0.68</v>
      </c>
      <c r="Y147" s="3"/>
      <c r="Z147" s="7">
        <f t="shared" si="53"/>
        <v>0</v>
      </c>
    </row>
    <row r="148" spans="1:26" s="29" customFormat="1" outlineLevel="1" collapsed="1" x14ac:dyDescent="0.3">
      <c r="A148" s="28"/>
      <c r="B148" s="14" t="str">
        <f>CONCATENATE("     ","Employees' Appreciation                           ")</f>
        <v xml:space="preserve">     Employees' Appreciation                           </v>
      </c>
      <c r="C148" s="14"/>
      <c r="D148" s="1">
        <f>SUM(OSRRefD22_7x_0)</f>
        <v>537.36</v>
      </c>
      <c r="E148" s="1"/>
      <c r="F148" s="5">
        <f t="shared" ref="F148:F154" si="54">IF(D$12=0,0,D148/D$12)</f>
        <v>1.7015589263890205E-3</v>
      </c>
      <c r="G148" s="1"/>
      <c r="H148" s="1">
        <f>SUM(OSRRefH22_7x_0)</f>
        <v>107.7</v>
      </c>
      <c r="I148" s="1"/>
      <c r="J148" s="5">
        <f t="shared" ref="J148:J154" si="55">IF(H$12=0,0,H148/H$12)</f>
        <v>2.4722570067482286E-4</v>
      </c>
      <c r="K148" s="1"/>
      <c r="L148" s="1">
        <f t="shared" ref="L148:L154" si="56">+D148-H148</f>
        <v>429.66</v>
      </c>
      <c r="M148" s="1"/>
      <c r="N148" s="5">
        <f t="shared" ref="N148:N154" si="57">IF(H148=0,0,L148/H148)</f>
        <v>3.9894150417827299</v>
      </c>
      <c r="O148" s="14"/>
      <c r="P148" s="1">
        <f>SUM(OSRRefP22_7x_0)</f>
        <v>537.36</v>
      </c>
      <c r="Q148" s="1"/>
      <c r="R148" s="5">
        <f t="shared" ref="R148:R154" si="58">IF(P$12=0,0,P148/P$12)</f>
        <v>1.7015589263890205E-3</v>
      </c>
      <c r="S148" s="1"/>
      <c r="T148" s="1">
        <f>SUM(OSRRefT22_7x_0)</f>
        <v>107.7</v>
      </c>
      <c r="U148" s="1"/>
      <c r="V148" s="5">
        <f t="shared" ref="V148:V154" si="59">IF(T$12=0,0,T148/T$12)</f>
        <v>2.4722570067482286E-4</v>
      </c>
      <c r="W148" s="1"/>
      <c r="X148" s="1">
        <f t="shared" ref="X148:X154" si="60">+P148-T148</f>
        <v>429.66</v>
      </c>
      <c r="Y148" s="1"/>
      <c r="Z148" s="5">
        <f t="shared" ref="Z148:Z154" si="61">IF(T148=0,0,X148/T148)</f>
        <v>3.9894150417827299</v>
      </c>
    </row>
    <row r="149" spans="1:26" s="24" customFormat="1" hidden="1" outlineLevel="2" x14ac:dyDescent="0.3">
      <c r="A149" s="27"/>
      <c r="B149" s="12" t="str">
        <f>CONCATENATE("          ", "6277", " - ", "EMPLOYEE APPRECIATION")</f>
        <v xml:space="preserve">          6277 - EMPLOYEE APPRECIATION</v>
      </c>
      <c r="C149" s="12"/>
      <c r="D149" s="8">
        <v>537.36</v>
      </c>
      <c r="E149" s="3"/>
      <c r="F149" s="7">
        <f t="shared" si="54"/>
        <v>1.7015589263890205E-3</v>
      </c>
      <c r="G149" s="3"/>
      <c r="H149" s="8">
        <v>107.7</v>
      </c>
      <c r="I149" s="3"/>
      <c r="J149" s="7">
        <f t="shared" si="55"/>
        <v>2.4722570067482286E-4</v>
      </c>
      <c r="K149" s="3"/>
      <c r="L149" s="8">
        <f t="shared" si="56"/>
        <v>429.66</v>
      </c>
      <c r="M149" s="3"/>
      <c r="N149" s="7">
        <f t="shared" si="57"/>
        <v>3.9894150417827299</v>
      </c>
      <c r="O149" s="12"/>
      <c r="P149" s="8">
        <v>537.36</v>
      </c>
      <c r="Q149" s="3"/>
      <c r="R149" s="7">
        <f t="shared" si="58"/>
        <v>1.7015589263890205E-3</v>
      </c>
      <c r="S149" s="3"/>
      <c r="T149" s="8">
        <v>107.7</v>
      </c>
      <c r="U149" s="3"/>
      <c r="V149" s="7">
        <f t="shared" si="59"/>
        <v>2.4722570067482286E-4</v>
      </c>
      <c r="W149" s="3"/>
      <c r="X149" s="8">
        <f t="shared" si="60"/>
        <v>429.66</v>
      </c>
      <c r="Y149" s="3"/>
      <c r="Z149" s="7">
        <f t="shared" si="61"/>
        <v>3.9894150417827299</v>
      </c>
    </row>
    <row r="150" spans="1:26" s="29" customFormat="1" outlineLevel="1" collapsed="1" x14ac:dyDescent="0.3">
      <c r="A150" s="28"/>
      <c r="B150" s="14" t="str">
        <f>CONCATENATE("     ","Equipment Rental                                  ")</f>
        <v xml:space="preserve">     Equipment Rental                                  </v>
      </c>
      <c r="C150" s="14"/>
      <c r="D150" s="1">
        <f>SUM(OSRRefD22_8x_0)</f>
        <v>1388.16</v>
      </c>
      <c r="E150" s="1"/>
      <c r="F150" s="5">
        <f t="shared" si="54"/>
        <v>4.3956305628557821E-3</v>
      </c>
      <c r="G150" s="1"/>
      <c r="H150" s="1">
        <f>SUM(OSRRefH22_8x_0)</f>
        <v>1388.16</v>
      </c>
      <c r="I150" s="1"/>
      <c r="J150" s="5">
        <f t="shared" si="55"/>
        <v>3.1865257998956553E-3</v>
      </c>
      <c r="K150" s="1"/>
      <c r="L150" s="1">
        <f t="shared" si="56"/>
        <v>0</v>
      </c>
      <c r="M150" s="1"/>
      <c r="N150" s="5">
        <f t="shared" si="57"/>
        <v>0</v>
      </c>
      <c r="O150" s="14"/>
      <c r="P150" s="1">
        <f>SUM(OSRRefP22_8x_0)</f>
        <v>1388.16</v>
      </c>
      <c r="Q150" s="1"/>
      <c r="R150" s="5">
        <f t="shared" si="58"/>
        <v>4.3956305628557821E-3</v>
      </c>
      <c r="S150" s="1"/>
      <c r="T150" s="1">
        <f>SUM(OSRRefT22_8x_0)</f>
        <v>1388.16</v>
      </c>
      <c r="U150" s="1"/>
      <c r="V150" s="5">
        <f t="shared" si="59"/>
        <v>3.1865257998956553E-3</v>
      </c>
      <c r="W150" s="1"/>
      <c r="X150" s="1">
        <f t="shared" si="60"/>
        <v>0</v>
      </c>
      <c r="Y150" s="1"/>
      <c r="Z150" s="5">
        <f t="shared" si="61"/>
        <v>0</v>
      </c>
    </row>
    <row r="151" spans="1:26" s="24" customFormat="1" hidden="1" outlineLevel="2" x14ac:dyDescent="0.3">
      <c r="A151" s="27"/>
      <c r="B151" s="12" t="str">
        <f>CONCATENATE("          ", "6351", " - ", "EQUIPMENT RENTAL")</f>
        <v xml:space="preserve">          6351 - EQUIPMENT RENTAL</v>
      </c>
      <c r="C151" s="12"/>
      <c r="D151" s="8">
        <v>1388.16</v>
      </c>
      <c r="E151" s="3"/>
      <c r="F151" s="7">
        <f t="shared" si="54"/>
        <v>4.3956305628557821E-3</v>
      </c>
      <c r="G151" s="3"/>
      <c r="H151" s="8">
        <v>1388.16</v>
      </c>
      <c r="I151" s="3"/>
      <c r="J151" s="7">
        <f t="shared" si="55"/>
        <v>3.1865257998956553E-3</v>
      </c>
      <c r="K151" s="3"/>
      <c r="L151" s="8">
        <f t="shared" si="56"/>
        <v>0</v>
      </c>
      <c r="M151" s="3"/>
      <c r="N151" s="7">
        <f t="shared" si="57"/>
        <v>0</v>
      </c>
      <c r="O151" s="12"/>
      <c r="P151" s="8">
        <v>1388.16</v>
      </c>
      <c r="Q151" s="3"/>
      <c r="R151" s="7">
        <f t="shared" si="58"/>
        <v>4.3956305628557821E-3</v>
      </c>
      <c r="S151" s="3"/>
      <c r="T151" s="8">
        <v>1388.16</v>
      </c>
      <c r="U151" s="3"/>
      <c r="V151" s="7">
        <f t="shared" si="59"/>
        <v>3.1865257998956553E-3</v>
      </c>
      <c r="W151" s="3"/>
      <c r="X151" s="8">
        <f t="shared" si="60"/>
        <v>0</v>
      </c>
      <c r="Y151" s="3"/>
      <c r="Z151" s="7">
        <f t="shared" si="61"/>
        <v>0</v>
      </c>
    </row>
    <row r="152" spans="1:26" s="29" customFormat="1" outlineLevel="1" collapsed="1" x14ac:dyDescent="0.3">
      <c r="A152" s="28"/>
      <c r="B152" s="14" t="str">
        <f>CONCATENATE("     ","Freight out/Postage                               ")</f>
        <v xml:space="preserve">     Freight out/Postage                               </v>
      </c>
      <c r="C152" s="14"/>
      <c r="D152" s="1">
        <f>SUM(OSRRefD22_9x_0)</f>
        <v>3682.8</v>
      </c>
      <c r="E152" s="1"/>
      <c r="F152" s="5">
        <f t="shared" si="54"/>
        <v>1.1661644361518321E-2</v>
      </c>
      <c r="G152" s="1"/>
      <c r="H152" s="1">
        <f>SUM(OSRRefH22_9x_0)</f>
        <v>8939.26</v>
      </c>
      <c r="I152" s="1"/>
      <c r="J152" s="5">
        <f t="shared" si="55"/>
        <v>2.0520100436531262E-2</v>
      </c>
      <c r="K152" s="1"/>
      <c r="L152" s="1">
        <f t="shared" si="56"/>
        <v>-5256.46</v>
      </c>
      <c r="M152" s="1"/>
      <c r="N152" s="5">
        <f t="shared" si="57"/>
        <v>-0.58801958998843307</v>
      </c>
      <c r="O152" s="14"/>
      <c r="P152" s="1">
        <f>SUM(OSRRefP22_9x_0)</f>
        <v>3682.8</v>
      </c>
      <c r="Q152" s="1"/>
      <c r="R152" s="5">
        <f t="shared" si="58"/>
        <v>1.1661644361518321E-2</v>
      </c>
      <c r="S152" s="1"/>
      <c r="T152" s="1">
        <f>SUM(OSRRefT22_9x_0)</f>
        <v>8939.26</v>
      </c>
      <c r="U152" s="1"/>
      <c r="V152" s="5">
        <f t="shared" si="59"/>
        <v>2.0520100436531262E-2</v>
      </c>
      <c r="W152" s="1"/>
      <c r="X152" s="1">
        <f t="shared" si="60"/>
        <v>-5256.46</v>
      </c>
      <c r="Y152" s="1"/>
      <c r="Z152" s="5">
        <f t="shared" si="61"/>
        <v>-0.58801958998843307</v>
      </c>
    </row>
    <row r="153" spans="1:26" s="24" customFormat="1" hidden="1" outlineLevel="2" x14ac:dyDescent="0.3">
      <c r="A153" s="27"/>
      <c r="B153" s="12" t="str">
        <f>CONCATENATE("          ", "6305", " - ", "FREIGHT OUT")</f>
        <v xml:space="preserve">          6305 - FREIGHT OUT</v>
      </c>
      <c r="C153" s="12"/>
      <c r="D153" s="8">
        <v>10982.69</v>
      </c>
      <c r="E153" s="3"/>
      <c r="F153" s="7">
        <f t="shared" si="54"/>
        <v>3.4776861331813742E-2</v>
      </c>
      <c r="G153" s="3"/>
      <c r="H153" s="8">
        <v>12094.7</v>
      </c>
      <c r="I153" s="3"/>
      <c r="J153" s="7">
        <f t="shared" si="55"/>
        <v>2.7763423230750046E-2</v>
      </c>
      <c r="K153" s="3"/>
      <c r="L153" s="8">
        <f t="shared" si="56"/>
        <v>-1112.0100000000002</v>
      </c>
      <c r="M153" s="3"/>
      <c r="N153" s="7">
        <f t="shared" si="57"/>
        <v>-9.1941924975402461E-2</v>
      </c>
      <c r="O153" s="12"/>
      <c r="P153" s="8">
        <v>10982.69</v>
      </c>
      <c r="Q153" s="3"/>
      <c r="R153" s="7">
        <f t="shared" si="58"/>
        <v>3.4776861331813742E-2</v>
      </c>
      <c r="S153" s="3"/>
      <c r="T153" s="8">
        <v>12094.7</v>
      </c>
      <c r="U153" s="3"/>
      <c r="V153" s="7">
        <f t="shared" si="59"/>
        <v>2.7763423230750046E-2</v>
      </c>
      <c r="W153" s="3"/>
      <c r="X153" s="8">
        <f t="shared" si="60"/>
        <v>-1112.0100000000002</v>
      </c>
      <c r="Y153" s="3"/>
      <c r="Z153" s="7">
        <f t="shared" si="61"/>
        <v>-9.1941924975402461E-2</v>
      </c>
    </row>
    <row r="154" spans="1:26" s="24" customFormat="1" hidden="1" outlineLevel="2" x14ac:dyDescent="0.3">
      <c r="A154" s="27"/>
      <c r="B154" s="12" t="str">
        <f>CONCATENATE("          ", "6307", " - ", "POSTAGE")</f>
        <v xml:space="preserve">          6307 - POSTAGE</v>
      </c>
      <c r="C154" s="12"/>
      <c r="D154" s="8">
        <v>-7299.89</v>
      </c>
      <c r="E154" s="3"/>
      <c r="F154" s="7">
        <f t="shared" si="54"/>
        <v>-2.3115216970295421E-2</v>
      </c>
      <c r="G154" s="3"/>
      <c r="H154" s="8">
        <v>-3155.44</v>
      </c>
      <c r="I154" s="3"/>
      <c r="J154" s="7">
        <f t="shared" si="55"/>
        <v>-7.2433227942187836E-3</v>
      </c>
      <c r="K154" s="3"/>
      <c r="L154" s="8">
        <f t="shared" si="56"/>
        <v>-4144.4500000000007</v>
      </c>
      <c r="M154" s="3"/>
      <c r="N154" s="7">
        <f t="shared" si="57"/>
        <v>1.3134301396952566</v>
      </c>
      <c r="O154" s="12"/>
      <c r="P154" s="8">
        <v>-7299.89</v>
      </c>
      <c r="Q154" s="3"/>
      <c r="R154" s="7">
        <f t="shared" si="58"/>
        <v>-2.3115216970295421E-2</v>
      </c>
      <c r="S154" s="3"/>
      <c r="T154" s="8">
        <v>-3155.44</v>
      </c>
      <c r="U154" s="3"/>
      <c r="V154" s="7">
        <f t="shared" si="59"/>
        <v>-7.2433227942187836E-3</v>
      </c>
      <c r="W154" s="3"/>
      <c r="X154" s="8">
        <f t="shared" si="60"/>
        <v>-4144.4500000000007</v>
      </c>
      <c r="Y154" s="3"/>
      <c r="Z154" s="7">
        <f t="shared" si="61"/>
        <v>1.3134301396952566</v>
      </c>
    </row>
    <row r="155" spans="1:26" s="29" customFormat="1" outlineLevel="1" collapsed="1" x14ac:dyDescent="0.3">
      <c r="A155" s="28"/>
      <c r="B155" s="14" t="str">
        <f>CONCATENATE("     ","General                                           ")</f>
        <v xml:space="preserve">     General                                           </v>
      </c>
      <c r="C155" s="14"/>
      <c r="D155" s="1">
        <f>SUM(OSRRefD22_10x_0)</f>
        <v>778</v>
      </c>
      <c r="E155" s="1"/>
      <c r="F155" s="5">
        <f t="shared" ref="F155:F161" si="62">IF(D$12=0,0,D155/D$12)</f>
        <v>2.4635492867549837E-3</v>
      </c>
      <c r="G155" s="1"/>
      <c r="H155" s="1">
        <f>SUM(OSRRefH22_10x_0)</f>
        <v>-3350.24</v>
      </c>
      <c r="I155" s="1"/>
      <c r="J155" s="5">
        <f t="shared" ref="J155:J161" si="63">IF(H$12=0,0,H155/H$12)</f>
        <v>-7.6904868284941351E-3</v>
      </c>
      <c r="K155" s="1"/>
      <c r="L155" s="1">
        <f t="shared" ref="L155:L161" si="64">+D155-H155</f>
        <v>4128.24</v>
      </c>
      <c r="M155" s="1"/>
      <c r="N155" s="5">
        <f t="shared" ref="N155:N161" si="65">IF(H155=0,0,L155/H155)</f>
        <v>-1.2322221691580304</v>
      </c>
      <c r="O155" s="14"/>
      <c r="P155" s="1">
        <f>SUM(OSRRefP22_10x_0)</f>
        <v>778</v>
      </c>
      <c r="Q155" s="1"/>
      <c r="R155" s="5">
        <f t="shared" ref="R155:R161" si="66">IF(P$12=0,0,P155/P$12)</f>
        <v>2.4635492867549837E-3</v>
      </c>
      <c r="S155" s="1"/>
      <c r="T155" s="1">
        <f>SUM(OSRRefT22_10x_0)</f>
        <v>-3350.24</v>
      </c>
      <c r="U155" s="1"/>
      <c r="V155" s="5">
        <f t="shared" ref="V155:V161" si="67">IF(T$12=0,0,T155/T$12)</f>
        <v>-7.6904868284941351E-3</v>
      </c>
      <c r="W155" s="1"/>
      <c r="X155" s="1">
        <f t="shared" ref="X155:X161" si="68">+P155-T155</f>
        <v>4128.24</v>
      </c>
      <c r="Y155" s="1"/>
      <c r="Z155" s="5">
        <f t="shared" ref="Z155:Z161" si="69">IF(T155=0,0,X155/T155)</f>
        <v>-1.2322221691580304</v>
      </c>
    </row>
    <row r="156" spans="1:26" s="24" customFormat="1" hidden="1" outlineLevel="2" x14ac:dyDescent="0.3">
      <c r="A156" s="27"/>
      <c r="B156" s="12" t="str">
        <f>CONCATENATE("          ", "6279", " - ", "GENERAL EXPENSE")</f>
        <v xml:space="preserve">          6279 - GENERAL EXPENSE</v>
      </c>
      <c r="C156" s="12"/>
      <c r="D156" s="8">
        <v>778</v>
      </c>
      <c r="E156" s="3"/>
      <c r="F156" s="7">
        <f t="shared" si="62"/>
        <v>2.4635492867549837E-3</v>
      </c>
      <c r="G156" s="3"/>
      <c r="H156" s="8">
        <v>-3350.24</v>
      </c>
      <c r="I156" s="3"/>
      <c r="J156" s="7">
        <f t="shared" si="63"/>
        <v>-7.6904868284941351E-3</v>
      </c>
      <c r="K156" s="3"/>
      <c r="L156" s="8">
        <f t="shared" si="64"/>
        <v>4128.24</v>
      </c>
      <c r="M156" s="3"/>
      <c r="N156" s="7">
        <f t="shared" si="65"/>
        <v>-1.2322221691580304</v>
      </c>
      <c r="O156" s="12"/>
      <c r="P156" s="8">
        <v>778</v>
      </c>
      <c r="Q156" s="3"/>
      <c r="R156" s="7">
        <f t="shared" si="66"/>
        <v>2.4635492867549837E-3</v>
      </c>
      <c r="S156" s="3"/>
      <c r="T156" s="8">
        <v>-3350.24</v>
      </c>
      <c r="U156" s="3"/>
      <c r="V156" s="7">
        <f t="shared" si="67"/>
        <v>-7.6904868284941351E-3</v>
      </c>
      <c r="W156" s="3"/>
      <c r="X156" s="8">
        <f t="shared" si="68"/>
        <v>4128.24</v>
      </c>
      <c r="Y156" s="3"/>
      <c r="Z156" s="7">
        <f t="shared" si="69"/>
        <v>-1.2322221691580304</v>
      </c>
    </row>
    <row r="157" spans="1:26" s="29" customFormat="1" outlineLevel="1" collapsed="1" x14ac:dyDescent="0.3">
      <c r="A157" s="28"/>
      <c r="B157" s="14" t="str">
        <f>CONCATENATE("     ","Insurance                                         ")</f>
        <v xml:space="preserve">     Insurance                                         </v>
      </c>
      <c r="C157" s="14"/>
      <c r="D157" s="1">
        <f>SUM(OSRRefD22_11x_0)</f>
        <v>5494.57</v>
      </c>
      <c r="E157" s="1"/>
      <c r="F157" s="5">
        <f t="shared" si="62"/>
        <v>1.739864267933847E-2</v>
      </c>
      <c r="G157" s="1"/>
      <c r="H157" s="1">
        <f>SUM(OSRRefH22_11x_0)</f>
        <v>4044.74</v>
      </c>
      <c r="I157" s="1"/>
      <c r="J157" s="5">
        <f t="shared" si="63"/>
        <v>9.2847138398094962E-3</v>
      </c>
      <c r="K157" s="1"/>
      <c r="L157" s="1">
        <f t="shared" si="64"/>
        <v>1449.83</v>
      </c>
      <c r="M157" s="1"/>
      <c r="N157" s="5">
        <f t="shared" si="65"/>
        <v>0.35844825625380122</v>
      </c>
      <c r="O157" s="14"/>
      <c r="P157" s="1">
        <f>SUM(OSRRefP22_11x_0)</f>
        <v>5494.57</v>
      </c>
      <c r="Q157" s="1"/>
      <c r="R157" s="5">
        <f t="shared" si="66"/>
        <v>1.739864267933847E-2</v>
      </c>
      <c r="S157" s="1"/>
      <c r="T157" s="1">
        <f>SUM(OSRRefT22_11x_0)</f>
        <v>4044.74</v>
      </c>
      <c r="U157" s="1"/>
      <c r="V157" s="5">
        <f t="shared" si="67"/>
        <v>9.2847138398094962E-3</v>
      </c>
      <c r="W157" s="1"/>
      <c r="X157" s="1">
        <f t="shared" si="68"/>
        <v>1449.83</v>
      </c>
      <c r="Y157" s="1"/>
      <c r="Z157" s="5">
        <f t="shared" si="69"/>
        <v>0.35844825625380122</v>
      </c>
    </row>
    <row r="158" spans="1:26" s="24" customFormat="1" hidden="1" outlineLevel="2" x14ac:dyDescent="0.3">
      <c r="A158" s="27"/>
      <c r="B158" s="12" t="str">
        <f>CONCATENATE("          ", "6314", " - ", "LIABILITY INSURANCE")</f>
        <v xml:space="preserve">          6314 - LIABILITY INSURANCE</v>
      </c>
      <c r="C158" s="12"/>
      <c r="D158" s="8">
        <v>5494.57</v>
      </c>
      <c r="E158" s="3"/>
      <c r="F158" s="7">
        <f t="shared" si="62"/>
        <v>1.739864267933847E-2</v>
      </c>
      <c r="G158" s="3"/>
      <c r="H158" s="8">
        <v>4044.74</v>
      </c>
      <c r="I158" s="3"/>
      <c r="J158" s="7">
        <f t="shared" si="63"/>
        <v>9.2847138398094962E-3</v>
      </c>
      <c r="K158" s="3"/>
      <c r="L158" s="8">
        <f t="shared" si="64"/>
        <v>1449.83</v>
      </c>
      <c r="M158" s="3"/>
      <c r="N158" s="7">
        <f t="shared" si="65"/>
        <v>0.35844825625380122</v>
      </c>
      <c r="O158" s="12"/>
      <c r="P158" s="8">
        <v>5494.57</v>
      </c>
      <c r="Q158" s="3"/>
      <c r="R158" s="7">
        <f t="shared" si="66"/>
        <v>1.739864267933847E-2</v>
      </c>
      <c r="S158" s="3"/>
      <c r="T158" s="8">
        <v>4044.74</v>
      </c>
      <c r="U158" s="3"/>
      <c r="V158" s="7">
        <f t="shared" si="67"/>
        <v>9.2847138398094962E-3</v>
      </c>
      <c r="W158" s="3"/>
      <c r="X158" s="8">
        <f t="shared" si="68"/>
        <v>1449.83</v>
      </c>
      <c r="Y158" s="3"/>
      <c r="Z158" s="7">
        <f t="shared" si="69"/>
        <v>0.35844825625380122</v>
      </c>
    </row>
    <row r="159" spans="1:26" s="29" customFormat="1" outlineLevel="1" collapsed="1" x14ac:dyDescent="0.3">
      <c r="A159" s="28"/>
      <c r="B159" s="14" t="str">
        <f>CONCATENATE("     ","Inventory Adjustment                              ")</f>
        <v xml:space="preserve">     Inventory Adjustment                              </v>
      </c>
      <c r="C159" s="14"/>
      <c r="D159" s="1">
        <f>SUM(OSRRefD22_12x_0)</f>
        <v>6570</v>
      </c>
      <c r="E159" s="1"/>
      <c r="F159" s="5">
        <f t="shared" si="62"/>
        <v>2.080400875832936E-2</v>
      </c>
      <c r="G159" s="1"/>
      <c r="H159" s="1">
        <f>SUM(OSRRefH22_12x_0)</f>
        <v>3350</v>
      </c>
      <c r="I159" s="1"/>
      <c r="J159" s="5">
        <f t="shared" si="63"/>
        <v>7.6899359077126882E-3</v>
      </c>
      <c r="K159" s="1"/>
      <c r="L159" s="1">
        <f t="shared" si="64"/>
        <v>3220</v>
      </c>
      <c r="M159" s="1"/>
      <c r="N159" s="5">
        <f t="shared" si="65"/>
        <v>0.96119402985074631</v>
      </c>
      <c r="O159" s="14"/>
      <c r="P159" s="1">
        <f>SUM(OSRRefP22_12x_0)</f>
        <v>6570</v>
      </c>
      <c r="Q159" s="1"/>
      <c r="R159" s="5">
        <f t="shared" si="66"/>
        <v>2.080400875832936E-2</v>
      </c>
      <c r="S159" s="1"/>
      <c r="T159" s="1">
        <f>SUM(OSRRefT22_12x_0)</f>
        <v>3350</v>
      </c>
      <c r="U159" s="1"/>
      <c r="V159" s="5">
        <f t="shared" si="67"/>
        <v>7.6899359077126882E-3</v>
      </c>
      <c r="W159" s="1"/>
      <c r="X159" s="1">
        <f t="shared" si="68"/>
        <v>3220</v>
      </c>
      <c r="Y159" s="1"/>
      <c r="Z159" s="5">
        <f t="shared" si="69"/>
        <v>0.96119402985074631</v>
      </c>
    </row>
    <row r="160" spans="1:26" s="24" customFormat="1" hidden="1" outlineLevel="2" x14ac:dyDescent="0.3">
      <c r="A160" s="27"/>
      <c r="B160" s="12" t="str">
        <f>CONCATENATE("          ", "6408", " - ", "INVENTORY ADJUSTMENT")</f>
        <v xml:space="preserve">          6408 - INVENTORY ADJUSTMENT</v>
      </c>
      <c r="C160" s="12"/>
      <c r="D160" s="8">
        <v>6570</v>
      </c>
      <c r="E160" s="3"/>
      <c r="F160" s="7">
        <f t="shared" si="62"/>
        <v>2.080400875832936E-2</v>
      </c>
      <c r="G160" s="3"/>
      <c r="H160" s="8">
        <v>3350</v>
      </c>
      <c r="I160" s="3"/>
      <c r="J160" s="7">
        <f t="shared" si="63"/>
        <v>7.6899359077126882E-3</v>
      </c>
      <c r="K160" s="3"/>
      <c r="L160" s="8">
        <f t="shared" si="64"/>
        <v>3220</v>
      </c>
      <c r="M160" s="3"/>
      <c r="N160" s="7">
        <f t="shared" si="65"/>
        <v>0.96119402985074631</v>
      </c>
      <c r="O160" s="12"/>
      <c r="P160" s="8">
        <v>6570</v>
      </c>
      <c r="Q160" s="3"/>
      <c r="R160" s="7">
        <f t="shared" si="66"/>
        <v>2.080400875832936E-2</v>
      </c>
      <c r="S160" s="3"/>
      <c r="T160" s="8">
        <v>3350</v>
      </c>
      <c r="U160" s="3"/>
      <c r="V160" s="7">
        <f t="shared" si="67"/>
        <v>7.6899359077126882E-3</v>
      </c>
      <c r="W160" s="3"/>
      <c r="X160" s="8">
        <f t="shared" si="68"/>
        <v>3220</v>
      </c>
      <c r="Y160" s="3"/>
      <c r="Z160" s="7">
        <f t="shared" si="69"/>
        <v>0.96119402985074631</v>
      </c>
    </row>
    <row r="161" spans="1:26" s="24" customFormat="1" hidden="1" outlineLevel="2" x14ac:dyDescent="0.3">
      <c r="A161" s="27"/>
      <c r="B161" s="12" t="str">
        <f>CONCATENATE("          ", "7741", " - ", "INV. SHRINKAGE-LOGO GIFTS")</f>
        <v xml:space="preserve">          7741 - INV. SHRINKAGE-LOGO GIFTS</v>
      </c>
      <c r="C161" s="12"/>
      <c r="D161" s="8"/>
      <c r="E161" s="3"/>
      <c r="F161" s="7">
        <f t="shared" si="62"/>
        <v>0</v>
      </c>
      <c r="G161" s="3"/>
      <c r="H161" s="8">
        <v>0</v>
      </c>
      <c r="I161" s="3"/>
      <c r="J161" s="7">
        <f t="shared" si="63"/>
        <v>0</v>
      </c>
      <c r="K161" s="3"/>
      <c r="L161" s="8">
        <f t="shared" si="64"/>
        <v>0</v>
      </c>
      <c r="M161" s="3"/>
      <c r="N161" s="7">
        <f t="shared" si="65"/>
        <v>0</v>
      </c>
      <c r="O161" s="12"/>
      <c r="P161" s="8"/>
      <c r="Q161" s="3"/>
      <c r="R161" s="7">
        <f t="shared" si="66"/>
        <v>0</v>
      </c>
      <c r="S161" s="3"/>
      <c r="T161" s="8">
        <v>0</v>
      </c>
      <c r="U161" s="3"/>
      <c r="V161" s="7">
        <f t="shared" si="67"/>
        <v>0</v>
      </c>
      <c r="W161" s="3"/>
      <c r="X161" s="8">
        <f t="shared" si="68"/>
        <v>0</v>
      </c>
      <c r="Y161" s="3"/>
      <c r="Z161" s="7">
        <f t="shared" si="69"/>
        <v>0</v>
      </c>
    </row>
    <row r="162" spans="1:26" s="29" customFormat="1" outlineLevel="1" collapsed="1" x14ac:dyDescent="0.3">
      <c r="A162" s="28"/>
      <c r="B162" s="14" t="str">
        <f>CONCATENATE("     ","Rent                                              ")</f>
        <v xml:space="preserve">     Rent                                              </v>
      </c>
      <c r="C162" s="14"/>
      <c r="D162" s="1">
        <f>SUM(OSRRefD22_13x_0)</f>
        <v>6100</v>
      </c>
      <c r="E162" s="1"/>
      <c r="F162" s="5">
        <f t="shared" ref="F162:F167" si="70">IF(D$12=0,0,D162/D$12)</f>
        <v>1.9315746335739587E-2</v>
      </c>
      <c r="G162" s="1"/>
      <c r="H162" s="1">
        <f>SUM(OSRRefH22_13x_0)</f>
        <v>6100</v>
      </c>
      <c r="I162" s="1"/>
      <c r="J162" s="5">
        <f t="shared" ref="J162:J167" si="71">IF(H$12=0,0,H162/H$12)</f>
        <v>1.4002569861805193E-2</v>
      </c>
      <c r="K162" s="1"/>
      <c r="L162" s="1">
        <f t="shared" ref="L162:L167" si="72">+D162-H162</f>
        <v>0</v>
      </c>
      <c r="M162" s="1"/>
      <c r="N162" s="5">
        <f t="shared" ref="N162:N167" si="73">IF(H162=0,0,L162/H162)</f>
        <v>0</v>
      </c>
      <c r="O162" s="14"/>
      <c r="P162" s="1">
        <f>SUM(OSRRefP22_13x_0)</f>
        <v>6100</v>
      </c>
      <c r="Q162" s="1"/>
      <c r="R162" s="5">
        <f t="shared" ref="R162:R167" si="74">IF(P$12=0,0,P162/P$12)</f>
        <v>1.9315746335739587E-2</v>
      </c>
      <c r="S162" s="1"/>
      <c r="T162" s="1">
        <f>SUM(OSRRefT22_13x_0)</f>
        <v>6100</v>
      </c>
      <c r="U162" s="1"/>
      <c r="V162" s="5">
        <f t="shared" ref="V162:V167" si="75">IF(T$12=0,0,T162/T$12)</f>
        <v>1.4002569861805193E-2</v>
      </c>
      <c r="W162" s="1"/>
      <c r="X162" s="1">
        <f t="shared" ref="X162:X167" si="76">+P162-T162</f>
        <v>0</v>
      </c>
      <c r="Y162" s="1"/>
      <c r="Z162" s="5">
        <f t="shared" ref="Z162:Z167" si="77">IF(T162=0,0,X162/T162)</f>
        <v>0</v>
      </c>
    </row>
    <row r="163" spans="1:26" s="24" customFormat="1" hidden="1" outlineLevel="2" x14ac:dyDescent="0.3">
      <c r="A163" s="27"/>
      <c r="B163" s="12" t="str">
        <f>CONCATENATE("          ", "6273", " - ", "RENT")</f>
        <v xml:space="preserve">          6273 - RENT</v>
      </c>
      <c r="C163" s="12"/>
      <c r="D163" s="8">
        <v>6100</v>
      </c>
      <c r="E163" s="3"/>
      <c r="F163" s="7">
        <f t="shared" si="70"/>
        <v>1.9315746335739587E-2</v>
      </c>
      <c r="G163" s="3"/>
      <c r="H163" s="8">
        <v>6100</v>
      </c>
      <c r="I163" s="3"/>
      <c r="J163" s="7">
        <f t="shared" si="71"/>
        <v>1.4002569861805193E-2</v>
      </c>
      <c r="K163" s="3"/>
      <c r="L163" s="8">
        <f t="shared" si="72"/>
        <v>0</v>
      </c>
      <c r="M163" s="3"/>
      <c r="N163" s="7">
        <f t="shared" si="73"/>
        <v>0</v>
      </c>
      <c r="O163" s="12"/>
      <c r="P163" s="8">
        <v>6100</v>
      </c>
      <c r="Q163" s="3"/>
      <c r="R163" s="7">
        <f t="shared" si="74"/>
        <v>1.9315746335739587E-2</v>
      </c>
      <c r="S163" s="3"/>
      <c r="T163" s="8">
        <v>6100</v>
      </c>
      <c r="U163" s="3"/>
      <c r="V163" s="7">
        <f t="shared" si="75"/>
        <v>1.4002569861805193E-2</v>
      </c>
      <c r="W163" s="3"/>
      <c r="X163" s="8">
        <f t="shared" si="76"/>
        <v>0</v>
      </c>
      <c r="Y163" s="3"/>
      <c r="Z163" s="7">
        <f t="shared" si="77"/>
        <v>0</v>
      </c>
    </row>
    <row r="164" spans="1:26" s="29" customFormat="1" outlineLevel="1" collapsed="1" x14ac:dyDescent="0.3">
      <c r="A164" s="28"/>
      <c r="B164" s="14" t="str">
        <f>CONCATENATE("     ","Repair and Maintenance                            ")</f>
        <v xml:space="preserve">     Repair and Maintenance                            </v>
      </c>
      <c r="C164" s="14"/>
      <c r="D164" s="1">
        <f>SUM(OSRRefD22_14x_0)</f>
        <v>64762.729999999996</v>
      </c>
      <c r="E164" s="1"/>
      <c r="F164" s="5">
        <f t="shared" si="70"/>
        <v>0.20507220732622825</v>
      </c>
      <c r="G164" s="1"/>
      <c r="H164" s="1">
        <f>SUM(OSRRefH22_14x_0)</f>
        <v>66347.77</v>
      </c>
      <c r="I164" s="1"/>
      <c r="J164" s="5">
        <f t="shared" si="71"/>
        <v>0.15230152206557093</v>
      </c>
      <c r="K164" s="1"/>
      <c r="L164" s="1">
        <f t="shared" si="72"/>
        <v>-1585.0400000000081</v>
      </c>
      <c r="M164" s="1"/>
      <c r="N164" s="5">
        <f t="shared" si="73"/>
        <v>-2.3889876027483787E-2</v>
      </c>
      <c r="O164" s="14"/>
      <c r="P164" s="1">
        <f>SUM(OSRRefP22_14x_0)</f>
        <v>64762.729999999996</v>
      </c>
      <c r="Q164" s="1"/>
      <c r="R164" s="5">
        <f t="shared" si="74"/>
        <v>0.20507220732622825</v>
      </c>
      <c r="S164" s="1"/>
      <c r="T164" s="1">
        <f>SUM(OSRRefT22_14x_0)</f>
        <v>66347.77</v>
      </c>
      <c r="U164" s="1"/>
      <c r="V164" s="5">
        <f t="shared" si="75"/>
        <v>0.15230152206557093</v>
      </c>
      <c r="W164" s="1"/>
      <c r="X164" s="1">
        <f t="shared" si="76"/>
        <v>-1585.0400000000081</v>
      </c>
      <c r="Y164" s="1"/>
      <c r="Z164" s="5">
        <f t="shared" si="77"/>
        <v>-2.3889876027483787E-2</v>
      </c>
    </row>
    <row r="165" spans="1:26" s="24" customFormat="1" hidden="1" outlineLevel="2" x14ac:dyDescent="0.3">
      <c r="A165" s="27"/>
      <c r="B165" s="12" t="str">
        <f>CONCATENATE("          ", "6371", " - ", "COMPUTER SOFTWARE MAINTENANCE")</f>
        <v xml:space="preserve">          6371 - COMPUTER SOFTWARE MAINTENANCE</v>
      </c>
      <c r="C165" s="12"/>
      <c r="D165" s="8">
        <v>59623.5</v>
      </c>
      <c r="E165" s="3"/>
      <c r="F165" s="7">
        <f t="shared" si="70"/>
        <v>0.18879875436868351</v>
      </c>
      <c r="G165" s="3"/>
      <c r="H165" s="8">
        <v>58428.78</v>
      </c>
      <c r="I165" s="3"/>
      <c r="J165" s="7">
        <f t="shared" si="71"/>
        <v>0.13412345473607312</v>
      </c>
      <c r="K165" s="3"/>
      <c r="L165" s="8">
        <f t="shared" si="72"/>
        <v>1194.7200000000012</v>
      </c>
      <c r="M165" s="3"/>
      <c r="N165" s="7">
        <f t="shared" si="73"/>
        <v>2.044745757142287E-2</v>
      </c>
      <c r="O165" s="12"/>
      <c r="P165" s="8">
        <v>59623.5</v>
      </c>
      <c r="Q165" s="3"/>
      <c r="R165" s="7">
        <f t="shared" si="74"/>
        <v>0.18879875436868351</v>
      </c>
      <c r="S165" s="3"/>
      <c r="T165" s="8">
        <v>58428.78</v>
      </c>
      <c r="U165" s="3"/>
      <c r="V165" s="7">
        <f t="shared" si="75"/>
        <v>0.13412345473607312</v>
      </c>
      <c r="W165" s="3"/>
      <c r="X165" s="8">
        <f t="shared" si="76"/>
        <v>1194.7200000000012</v>
      </c>
      <c r="Y165" s="3"/>
      <c r="Z165" s="7">
        <f t="shared" si="77"/>
        <v>2.044745757142287E-2</v>
      </c>
    </row>
    <row r="166" spans="1:26" s="24" customFormat="1" hidden="1" outlineLevel="2" x14ac:dyDescent="0.3">
      <c r="A166" s="27"/>
      <c r="B166" s="12" t="str">
        <f>CONCATENATE("          ", "6373", " - ", "MAINTENANCE CONTRACTS")</f>
        <v xml:space="preserve">          6373 - MAINTENANCE CONTRACTS</v>
      </c>
      <c r="C166" s="12"/>
      <c r="D166" s="8">
        <v>654.63</v>
      </c>
      <c r="E166" s="3"/>
      <c r="F166" s="7">
        <f t="shared" si="70"/>
        <v>2.0728962334041322E-3</v>
      </c>
      <c r="G166" s="3"/>
      <c r="H166" s="8">
        <v>6416.01</v>
      </c>
      <c r="I166" s="3"/>
      <c r="J166" s="7">
        <f t="shared" si="71"/>
        <v>1.4727971845744384E-2</v>
      </c>
      <c r="K166" s="3"/>
      <c r="L166" s="8">
        <f t="shared" si="72"/>
        <v>-5761.38</v>
      </c>
      <c r="M166" s="3"/>
      <c r="N166" s="7">
        <f t="shared" si="73"/>
        <v>-0.89796929867628006</v>
      </c>
      <c r="O166" s="12"/>
      <c r="P166" s="8">
        <v>654.63</v>
      </c>
      <c r="Q166" s="3"/>
      <c r="R166" s="7">
        <f t="shared" si="74"/>
        <v>2.0728962334041322E-3</v>
      </c>
      <c r="S166" s="3"/>
      <c r="T166" s="8">
        <v>6416.01</v>
      </c>
      <c r="U166" s="3"/>
      <c r="V166" s="7">
        <f t="shared" si="75"/>
        <v>1.4727971845744384E-2</v>
      </c>
      <c r="W166" s="3"/>
      <c r="X166" s="8">
        <f t="shared" si="76"/>
        <v>-5761.38</v>
      </c>
      <c r="Y166" s="3"/>
      <c r="Z166" s="7">
        <f t="shared" si="77"/>
        <v>-0.89796929867628006</v>
      </c>
    </row>
    <row r="167" spans="1:26" s="24" customFormat="1" hidden="1" outlineLevel="2" x14ac:dyDescent="0.3">
      <c r="A167" s="27"/>
      <c r="B167" s="12" t="str">
        <f>CONCATENATE("          ", "6375", " - ", "OUTSIDE REPAIRS &amp; MAINTENANCE")</f>
        <v xml:space="preserve">          6375 - OUTSIDE REPAIRS &amp; MAINTENANCE</v>
      </c>
      <c r="C167" s="12"/>
      <c r="D167" s="8">
        <v>4484.6000000000004</v>
      </c>
      <c r="E167" s="3"/>
      <c r="F167" s="7">
        <f t="shared" si="70"/>
        <v>1.4200556724140617E-2</v>
      </c>
      <c r="G167" s="3"/>
      <c r="H167" s="8">
        <v>1502.98</v>
      </c>
      <c r="I167" s="3"/>
      <c r="J167" s="7">
        <f t="shared" si="71"/>
        <v>3.4500954837534373E-3</v>
      </c>
      <c r="K167" s="3"/>
      <c r="L167" s="8">
        <f t="shared" si="72"/>
        <v>2981.6200000000003</v>
      </c>
      <c r="M167" s="3"/>
      <c r="N167" s="7">
        <f t="shared" si="73"/>
        <v>1.9838055063939641</v>
      </c>
      <c r="O167" s="12"/>
      <c r="P167" s="8">
        <v>4484.6000000000004</v>
      </c>
      <c r="Q167" s="3"/>
      <c r="R167" s="7">
        <f t="shared" si="74"/>
        <v>1.4200556724140617E-2</v>
      </c>
      <c r="S167" s="3"/>
      <c r="T167" s="8">
        <v>1502.98</v>
      </c>
      <c r="U167" s="3"/>
      <c r="V167" s="7">
        <f t="shared" si="75"/>
        <v>3.4500954837534373E-3</v>
      </c>
      <c r="W167" s="3"/>
      <c r="X167" s="8">
        <f t="shared" si="76"/>
        <v>2981.6200000000003</v>
      </c>
      <c r="Y167" s="3"/>
      <c r="Z167" s="7">
        <f t="shared" si="77"/>
        <v>1.9838055063939641</v>
      </c>
    </row>
    <row r="168" spans="1:26" s="29" customFormat="1" outlineLevel="1" collapsed="1" x14ac:dyDescent="0.3">
      <c r="A168" s="28"/>
      <c r="B168" s="14" t="str">
        <f>CONCATENATE("     ","Royalty &amp; Commissions                             ")</f>
        <v xml:space="preserve">     Royalty &amp; Commissions                             </v>
      </c>
      <c r="C168" s="14"/>
      <c r="D168" s="1">
        <f>SUM(OSRRefD22_15x_0)</f>
        <v>7355.1000000000013</v>
      </c>
      <c r="E168" s="1"/>
      <c r="F168" s="5">
        <f t="shared" ref="F168:F171" si="78">IF(D$12=0,0,D168/D$12)</f>
        <v>2.3290040307212833E-2</v>
      </c>
      <c r="G168" s="1"/>
      <c r="H168" s="1">
        <f>SUM(OSRRefH22_15x_0)</f>
        <v>10989.75</v>
      </c>
      <c r="I168" s="1"/>
      <c r="J168" s="5">
        <f t="shared" ref="J168:J171" si="79">IF(H$12=0,0,H168/H$12)</f>
        <v>2.5227006907995675E-2</v>
      </c>
      <c r="K168" s="1"/>
      <c r="L168" s="1">
        <f t="shared" ref="L168:L171" si="80">+D168-H168</f>
        <v>-3634.6499999999987</v>
      </c>
      <c r="M168" s="1"/>
      <c r="N168" s="5">
        <f t="shared" ref="N168:N171" si="81">IF(H168=0,0,L168/H168)</f>
        <v>-0.33073090834641361</v>
      </c>
      <c r="O168" s="14"/>
      <c r="P168" s="1">
        <f>SUM(OSRRefP22_15x_0)</f>
        <v>7355.1000000000013</v>
      </c>
      <c r="Q168" s="1"/>
      <c r="R168" s="5">
        <f t="shared" ref="R168:R171" si="82">IF(P$12=0,0,P168/P$12)</f>
        <v>2.3290040307212833E-2</v>
      </c>
      <c r="S168" s="1"/>
      <c r="T168" s="1">
        <f>SUM(OSRRefT22_15x_0)</f>
        <v>10989.75</v>
      </c>
      <c r="U168" s="1"/>
      <c r="V168" s="5">
        <f t="shared" ref="V168:V171" si="83">IF(T$12=0,0,T168/T$12)</f>
        <v>2.5227006907995675E-2</v>
      </c>
      <c r="W168" s="1"/>
      <c r="X168" s="1">
        <f t="shared" ref="X168:X171" si="84">+P168-T168</f>
        <v>-3634.6499999999987</v>
      </c>
      <c r="Y168" s="1"/>
      <c r="Z168" s="5">
        <f t="shared" ref="Z168:Z171" si="85">IF(T168=0,0,X168/T168)</f>
        <v>-0.33073090834641361</v>
      </c>
    </row>
    <row r="169" spans="1:26" s="24" customFormat="1" hidden="1" outlineLevel="2" x14ac:dyDescent="0.3">
      <c r="A169" s="27"/>
      <c r="B169" s="12" t="str">
        <f>CONCATENATE("          ", "6253", " - ", "ROYALTY DUE ATHLETICS-LRG")</f>
        <v xml:space="preserve">          6253 - ROYALTY DUE ATHLETICS-LRG</v>
      </c>
      <c r="C169" s="12"/>
      <c r="D169" s="8">
        <v>14376.54</v>
      </c>
      <c r="E169" s="3"/>
      <c r="F169" s="7">
        <f t="shared" si="78"/>
        <v>4.5523540955018628E-2</v>
      </c>
      <c r="G169" s="3"/>
      <c r="H169" s="8">
        <v>5672.2</v>
      </c>
      <c r="I169" s="3"/>
      <c r="J169" s="7">
        <f t="shared" si="79"/>
        <v>1.3020553568874002E-2</v>
      </c>
      <c r="K169" s="3"/>
      <c r="L169" s="8">
        <f t="shared" si="80"/>
        <v>8704.34</v>
      </c>
      <c r="M169" s="3"/>
      <c r="N169" s="7">
        <f t="shared" si="81"/>
        <v>1.5345615457847044</v>
      </c>
      <c r="O169" s="12"/>
      <c r="P169" s="8">
        <v>14376.54</v>
      </c>
      <c r="Q169" s="3"/>
      <c r="R169" s="7">
        <f t="shared" si="82"/>
        <v>4.5523540955018628E-2</v>
      </c>
      <c r="S169" s="3"/>
      <c r="T169" s="8">
        <v>5672.2</v>
      </c>
      <c r="U169" s="3"/>
      <c r="V169" s="7">
        <f t="shared" si="83"/>
        <v>1.3020553568874002E-2</v>
      </c>
      <c r="W169" s="3"/>
      <c r="X169" s="8">
        <f t="shared" si="84"/>
        <v>8704.34</v>
      </c>
      <c r="Y169" s="3"/>
      <c r="Z169" s="7">
        <f t="shared" si="85"/>
        <v>1.5345615457847044</v>
      </c>
    </row>
    <row r="170" spans="1:26" s="24" customFormat="1" hidden="1" outlineLevel="2" x14ac:dyDescent="0.3">
      <c r="A170" s="27"/>
      <c r="B170" s="12" t="str">
        <f>CONCATENATE("          ", "6254", " - ", "ROYALTY &amp; COMMISSIONS")</f>
        <v xml:space="preserve">          6254 - ROYALTY &amp; COMMISSIONS</v>
      </c>
      <c r="C170" s="12"/>
      <c r="D170" s="8">
        <v>-7027.5</v>
      </c>
      <c r="E170" s="3"/>
      <c r="F170" s="7">
        <f t="shared" si="78"/>
        <v>-2.2252689733509828E-2</v>
      </c>
      <c r="G170" s="3"/>
      <c r="H170" s="8"/>
      <c r="I170" s="3"/>
      <c r="J170" s="7">
        <f t="shared" si="79"/>
        <v>0</v>
      </c>
      <c r="K170" s="3"/>
      <c r="L170" s="8">
        <f t="shared" si="80"/>
        <v>-7027.5</v>
      </c>
      <c r="M170" s="3"/>
      <c r="N170" s="7">
        <f t="shared" si="81"/>
        <v>0</v>
      </c>
      <c r="O170" s="12"/>
      <c r="P170" s="8">
        <v>-7027.5</v>
      </c>
      <c r="Q170" s="3"/>
      <c r="R170" s="7">
        <f t="shared" si="82"/>
        <v>-2.2252689733509828E-2</v>
      </c>
      <c r="S170" s="3"/>
      <c r="T170" s="8"/>
      <c r="U170" s="3"/>
      <c r="V170" s="7">
        <f t="shared" si="83"/>
        <v>0</v>
      </c>
      <c r="W170" s="3"/>
      <c r="X170" s="8">
        <f t="shared" si="84"/>
        <v>-7027.5</v>
      </c>
      <c r="Y170" s="3"/>
      <c r="Z170" s="7">
        <f t="shared" si="85"/>
        <v>0</v>
      </c>
    </row>
    <row r="171" spans="1:26" s="24" customFormat="1" hidden="1" outlineLevel="2" x14ac:dyDescent="0.3">
      <c r="A171" s="27"/>
      <c r="B171" s="12" t="str">
        <f>CONCATENATE("          ", "6259", " - ", "ROYALTY &amp; COMMISSIONS")</f>
        <v xml:space="preserve">          6259 - ROYALTY &amp; COMMISSIONS</v>
      </c>
      <c r="C171" s="12"/>
      <c r="D171" s="8">
        <v>6.06</v>
      </c>
      <c r="E171" s="3"/>
      <c r="F171" s="7">
        <f t="shared" si="78"/>
        <v>1.9189085704029819E-5</v>
      </c>
      <c r="G171" s="3"/>
      <c r="H171" s="8">
        <v>5317.55</v>
      </c>
      <c r="I171" s="3"/>
      <c r="J171" s="7">
        <f t="shared" si="79"/>
        <v>1.2206453339121673E-2</v>
      </c>
      <c r="K171" s="3"/>
      <c r="L171" s="8">
        <f t="shared" si="80"/>
        <v>-5311.49</v>
      </c>
      <c r="M171" s="3"/>
      <c r="N171" s="7">
        <f t="shared" si="81"/>
        <v>-0.99886037742945522</v>
      </c>
      <c r="O171" s="12"/>
      <c r="P171" s="8">
        <v>6.06</v>
      </c>
      <c r="Q171" s="3"/>
      <c r="R171" s="7">
        <f t="shared" si="82"/>
        <v>1.9189085704029819E-5</v>
      </c>
      <c r="S171" s="3"/>
      <c r="T171" s="8">
        <v>5317.55</v>
      </c>
      <c r="U171" s="3"/>
      <c r="V171" s="7">
        <f t="shared" si="83"/>
        <v>1.2206453339121673E-2</v>
      </c>
      <c r="W171" s="3"/>
      <c r="X171" s="8">
        <f t="shared" si="84"/>
        <v>-5311.49</v>
      </c>
      <c r="Y171" s="3"/>
      <c r="Z171" s="7">
        <f t="shared" si="85"/>
        <v>-0.99886037742945522</v>
      </c>
    </row>
    <row r="172" spans="1:26" s="29" customFormat="1" outlineLevel="1" collapsed="1" x14ac:dyDescent="0.3">
      <c r="A172" s="28"/>
      <c r="B172" s="14" t="str">
        <f>CONCATENATE("     ","Services                                          ")</f>
        <v xml:space="preserve">     Services                                          </v>
      </c>
      <c r="C172" s="14"/>
      <c r="D172" s="1">
        <f>SUM(OSRRefD22_16x_0)</f>
        <v>4006.32</v>
      </c>
      <c r="E172" s="1"/>
      <c r="F172" s="5">
        <f t="shared" ref="F172:F176" si="86">IF(D$12=0,0,D172/D$12)</f>
        <v>1.2686075550786923E-2</v>
      </c>
      <c r="G172" s="1"/>
      <c r="H172" s="1">
        <f>SUM(OSRRefH22_16x_0)</f>
        <v>3883.7400000000002</v>
      </c>
      <c r="I172" s="1"/>
      <c r="J172" s="5">
        <f t="shared" ref="J172:J176" si="87">IF(H$12=0,0,H172/H$12)</f>
        <v>8.9151378155880815E-3</v>
      </c>
      <c r="K172" s="1"/>
      <c r="L172" s="1">
        <f t="shared" ref="L172:L176" si="88">+D172-H172</f>
        <v>122.57999999999993</v>
      </c>
      <c r="M172" s="1"/>
      <c r="N172" s="5">
        <f t="shared" ref="N172:N176" si="89">IF(H172=0,0,L172/H172)</f>
        <v>3.1562359993202407E-2</v>
      </c>
      <c r="O172" s="14"/>
      <c r="P172" s="1">
        <f>SUM(OSRRefP22_16x_0)</f>
        <v>4006.32</v>
      </c>
      <c r="Q172" s="1"/>
      <c r="R172" s="5">
        <f t="shared" ref="R172:R176" si="90">IF(P$12=0,0,P172/P$12)</f>
        <v>1.2686075550786923E-2</v>
      </c>
      <c r="S172" s="1"/>
      <c r="T172" s="1">
        <f>SUM(OSRRefT22_16x_0)</f>
        <v>3883.7400000000002</v>
      </c>
      <c r="U172" s="1"/>
      <c r="V172" s="5">
        <f t="shared" ref="V172:V176" si="91">IF(T$12=0,0,T172/T$12)</f>
        <v>8.9151378155880815E-3</v>
      </c>
      <c r="W172" s="1"/>
      <c r="X172" s="1">
        <f t="shared" ref="X172:X176" si="92">+P172-T172</f>
        <v>122.57999999999993</v>
      </c>
      <c r="Y172" s="1"/>
      <c r="Z172" s="5">
        <f t="shared" ref="Z172:Z176" si="93">IF(T172=0,0,X172/T172)</f>
        <v>3.1562359993202407E-2</v>
      </c>
    </row>
    <row r="173" spans="1:26" s="24" customFormat="1" hidden="1" outlineLevel="2" x14ac:dyDescent="0.3">
      <c r="A173" s="27"/>
      <c r="B173" s="12" t="str">
        <f>CONCATENATE("          ", "6282", " - ", "JANITORIAL/EXTERMINATOR EXPENS")</f>
        <v xml:space="preserve">          6282 - JANITORIAL/EXTERMINATOR EXPENS</v>
      </c>
      <c r="C173" s="12"/>
      <c r="D173" s="8"/>
      <c r="E173" s="3"/>
      <c r="F173" s="7">
        <f t="shared" si="86"/>
        <v>0</v>
      </c>
      <c r="G173" s="3"/>
      <c r="H173" s="8">
        <v>136.5</v>
      </c>
      <c r="I173" s="3"/>
      <c r="J173" s="7">
        <f t="shared" si="87"/>
        <v>3.1333619444859161E-4</v>
      </c>
      <c r="K173" s="3"/>
      <c r="L173" s="8">
        <f t="shared" si="88"/>
        <v>-136.5</v>
      </c>
      <c r="M173" s="3"/>
      <c r="N173" s="7">
        <f t="shared" si="89"/>
        <v>-1</v>
      </c>
      <c r="O173" s="12"/>
      <c r="P173" s="8"/>
      <c r="Q173" s="3"/>
      <c r="R173" s="7">
        <f t="shared" si="90"/>
        <v>0</v>
      </c>
      <c r="S173" s="3"/>
      <c r="T173" s="8">
        <v>136.5</v>
      </c>
      <c r="U173" s="3"/>
      <c r="V173" s="7">
        <f t="shared" si="91"/>
        <v>3.1333619444859161E-4</v>
      </c>
      <c r="W173" s="3"/>
      <c r="X173" s="8">
        <f t="shared" si="92"/>
        <v>-136.5</v>
      </c>
      <c r="Y173" s="3"/>
      <c r="Z173" s="7">
        <f t="shared" si="93"/>
        <v>-1</v>
      </c>
    </row>
    <row r="174" spans="1:26" s="24" customFormat="1" hidden="1" outlineLevel="2" x14ac:dyDescent="0.3">
      <c r="A174" s="27"/>
      <c r="B174" s="12" t="str">
        <f>CONCATENATE("          ", "6283", " - ", "PLANT SERVICE")</f>
        <v xml:space="preserve">          6283 - PLANT SERVICE</v>
      </c>
      <c r="C174" s="12"/>
      <c r="D174" s="8"/>
      <c r="E174" s="3"/>
      <c r="F174" s="7">
        <f t="shared" si="86"/>
        <v>0</v>
      </c>
      <c r="G174" s="3"/>
      <c r="H174" s="8">
        <v>130</v>
      </c>
      <c r="I174" s="3"/>
      <c r="J174" s="7">
        <f t="shared" si="87"/>
        <v>2.9841542328437295E-4</v>
      </c>
      <c r="K174" s="3"/>
      <c r="L174" s="8">
        <f t="shared" si="88"/>
        <v>-130</v>
      </c>
      <c r="M174" s="3"/>
      <c r="N174" s="7">
        <f t="shared" si="89"/>
        <v>-1</v>
      </c>
      <c r="O174" s="12"/>
      <c r="P174" s="8"/>
      <c r="Q174" s="3"/>
      <c r="R174" s="7">
        <f t="shared" si="90"/>
        <v>0</v>
      </c>
      <c r="S174" s="3"/>
      <c r="T174" s="8">
        <v>130</v>
      </c>
      <c r="U174" s="3"/>
      <c r="V174" s="7">
        <f t="shared" si="91"/>
        <v>2.9841542328437295E-4</v>
      </c>
      <c r="W174" s="3"/>
      <c r="X174" s="8">
        <f t="shared" si="92"/>
        <v>-130</v>
      </c>
      <c r="Y174" s="3"/>
      <c r="Z174" s="7">
        <f t="shared" si="93"/>
        <v>-1</v>
      </c>
    </row>
    <row r="175" spans="1:26" s="24" customFormat="1" hidden="1" outlineLevel="2" x14ac:dyDescent="0.3">
      <c r="A175" s="27"/>
      <c r="B175" s="12" t="str">
        <f>CONCATENATE("          ", "6284", " - ", "TRASH REMOVAL EXPENSE")</f>
        <v xml:space="preserve">          6284 - TRASH REMOVAL EXPENSE</v>
      </c>
      <c r="C175" s="12"/>
      <c r="D175" s="8">
        <v>142.57</v>
      </c>
      <c r="E175" s="3"/>
      <c r="F175" s="7">
        <f t="shared" si="86"/>
        <v>4.5145015657153985E-4</v>
      </c>
      <c r="G175" s="3"/>
      <c r="H175" s="8">
        <v>142.57</v>
      </c>
      <c r="I175" s="3"/>
      <c r="J175" s="7">
        <f t="shared" si="87"/>
        <v>3.2726989921271578E-4</v>
      </c>
      <c r="K175" s="3"/>
      <c r="L175" s="8">
        <f t="shared" si="88"/>
        <v>0</v>
      </c>
      <c r="M175" s="3"/>
      <c r="N175" s="7">
        <f t="shared" si="89"/>
        <v>0</v>
      </c>
      <c r="O175" s="12"/>
      <c r="P175" s="8">
        <v>142.57</v>
      </c>
      <c r="Q175" s="3"/>
      <c r="R175" s="7">
        <f t="shared" si="90"/>
        <v>4.5145015657153985E-4</v>
      </c>
      <c r="S175" s="3"/>
      <c r="T175" s="8">
        <v>142.57</v>
      </c>
      <c r="U175" s="3"/>
      <c r="V175" s="7">
        <f t="shared" si="91"/>
        <v>3.2726989921271578E-4</v>
      </c>
      <c r="W175" s="3"/>
      <c r="X175" s="8">
        <f t="shared" si="92"/>
        <v>0</v>
      </c>
      <c r="Y175" s="3"/>
      <c r="Z175" s="7">
        <f t="shared" si="93"/>
        <v>0</v>
      </c>
    </row>
    <row r="176" spans="1:26" s="24" customFormat="1" hidden="1" outlineLevel="2" x14ac:dyDescent="0.3">
      <c r="A176" s="27"/>
      <c r="B176" s="12" t="str">
        <f>CONCATENATE("          ", "6285", " - ", "JANITORIAL SERVICES")</f>
        <v xml:space="preserve">          6285 - JANITORIAL SERVICES</v>
      </c>
      <c r="C176" s="12"/>
      <c r="D176" s="8">
        <v>3863.75</v>
      </c>
      <c r="E176" s="3"/>
      <c r="F176" s="7">
        <f t="shared" si="86"/>
        <v>1.2234625394215383E-2</v>
      </c>
      <c r="G176" s="3"/>
      <c r="H176" s="8">
        <v>3474.67</v>
      </c>
      <c r="I176" s="3"/>
      <c r="J176" s="7">
        <f t="shared" si="87"/>
        <v>7.9761162986424008E-3</v>
      </c>
      <c r="K176" s="3"/>
      <c r="L176" s="8">
        <f t="shared" si="88"/>
        <v>389.07999999999993</v>
      </c>
      <c r="M176" s="3"/>
      <c r="N176" s="7">
        <f t="shared" si="89"/>
        <v>0.11197610132760806</v>
      </c>
      <c r="O176" s="12"/>
      <c r="P176" s="8">
        <v>3863.75</v>
      </c>
      <c r="Q176" s="3"/>
      <c r="R176" s="7">
        <f t="shared" si="90"/>
        <v>1.2234625394215383E-2</v>
      </c>
      <c r="S176" s="3"/>
      <c r="T176" s="8">
        <v>3474.67</v>
      </c>
      <c r="U176" s="3"/>
      <c r="V176" s="7">
        <f t="shared" si="91"/>
        <v>7.9761162986424008E-3</v>
      </c>
      <c r="W176" s="3"/>
      <c r="X176" s="8">
        <f t="shared" si="92"/>
        <v>389.07999999999993</v>
      </c>
      <c r="Y176" s="3"/>
      <c r="Z176" s="7">
        <f t="shared" si="93"/>
        <v>0.11197610132760806</v>
      </c>
    </row>
    <row r="177" spans="1:26" s="29" customFormat="1" outlineLevel="1" collapsed="1" x14ac:dyDescent="0.3">
      <c r="A177" s="28"/>
      <c r="B177" s="14" t="str">
        <f>CONCATENATE("     ","Subscriptions &amp; Dues                              ")</f>
        <v xml:space="preserve">     Subscriptions &amp; Dues                              </v>
      </c>
      <c r="C177" s="14"/>
      <c r="D177" s="1">
        <f>SUM(OSRRefD22_17x_0)</f>
        <v>68.319999999999993</v>
      </c>
      <c r="E177" s="1"/>
      <c r="F177" s="5">
        <f t="shared" ref="F177:F179" si="94">IF(D$12=0,0,D177/D$12)</f>
        <v>2.1633635896028337E-4</v>
      </c>
      <c r="G177" s="1"/>
      <c r="H177" s="1">
        <f>SUM(OSRRefH22_17x_0)</f>
        <v>365</v>
      </c>
      <c r="I177" s="1"/>
      <c r="J177" s="5">
        <f t="shared" ref="J177:J179" si="95">IF(H$12=0,0,H177/H$12)</f>
        <v>8.3785868845227796E-4</v>
      </c>
      <c r="K177" s="1"/>
      <c r="L177" s="1">
        <f t="shared" ref="L177:L179" si="96">+D177-H177</f>
        <v>-296.68</v>
      </c>
      <c r="M177" s="1"/>
      <c r="N177" s="5">
        <f t="shared" ref="N177:N179" si="97">IF(H177=0,0,L177/H177)</f>
        <v>-0.81282191780821922</v>
      </c>
      <c r="O177" s="14"/>
      <c r="P177" s="1">
        <f>SUM(OSRRefP22_17x_0)</f>
        <v>68.319999999999993</v>
      </c>
      <c r="Q177" s="1"/>
      <c r="R177" s="5">
        <f t="shared" ref="R177:R179" si="98">IF(P$12=0,0,P177/P$12)</f>
        <v>2.1633635896028337E-4</v>
      </c>
      <c r="S177" s="1"/>
      <c r="T177" s="1">
        <f>SUM(OSRRefT22_17x_0)</f>
        <v>365</v>
      </c>
      <c r="U177" s="1"/>
      <c r="V177" s="5">
        <f t="shared" ref="V177:V179" si="99">IF(T$12=0,0,T177/T$12)</f>
        <v>8.3785868845227796E-4</v>
      </c>
      <c r="W177" s="1"/>
      <c r="X177" s="1">
        <f t="shared" ref="X177:X179" si="100">+P177-T177</f>
        <v>-296.68</v>
      </c>
      <c r="Y177" s="1"/>
      <c r="Z177" s="5">
        <f t="shared" ref="Z177:Z179" si="101">IF(T177=0,0,X177/T177)</f>
        <v>-0.81282191780821922</v>
      </c>
    </row>
    <row r="178" spans="1:26" s="24" customFormat="1" hidden="1" outlineLevel="2" x14ac:dyDescent="0.3">
      <c r="A178" s="27"/>
      <c r="B178" s="12" t="str">
        <f>CONCATENATE("          ", "6258", " - ", "MEMBERSHIP DUES")</f>
        <v xml:space="preserve">          6258 - MEMBERSHIP DUES</v>
      </c>
      <c r="C178" s="12"/>
      <c r="D178" s="8">
        <v>68.319999999999993</v>
      </c>
      <c r="E178" s="3"/>
      <c r="F178" s="7">
        <f t="shared" si="94"/>
        <v>2.1633635896028337E-4</v>
      </c>
      <c r="G178" s="3"/>
      <c r="H178" s="8">
        <v>290</v>
      </c>
      <c r="I178" s="3"/>
      <c r="J178" s="7">
        <f t="shared" si="95"/>
        <v>6.656959442497551E-4</v>
      </c>
      <c r="K178" s="3"/>
      <c r="L178" s="8">
        <f t="shared" si="96"/>
        <v>-221.68</v>
      </c>
      <c r="M178" s="3"/>
      <c r="N178" s="7">
        <f t="shared" si="97"/>
        <v>-0.76441379310344826</v>
      </c>
      <c r="O178" s="12"/>
      <c r="P178" s="8">
        <v>68.319999999999993</v>
      </c>
      <c r="Q178" s="3"/>
      <c r="R178" s="7">
        <f t="shared" si="98"/>
        <v>2.1633635896028337E-4</v>
      </c>
      <c r="S178" s="3"/>
      <c r="T178" s="8">
        <v>290</v>
      </c>
      <c r="U178" s="3"/>
      <c r="V178" s="7">
        <f t="shared" si="99"/>
        <v>6.656959442497551E-4</v>
      </c>
      <c r="W178" s="3"/>
      <c r="X178" s="8">
        <f t="shared" si="100"/>
        <v>-221.68</v>
      </c>
      <c r="Y178" s="3"/>
      <c r="Z178" s="7">
        <f t="shared" si="101"/>
        <v>-0.76441379310344826</v>
      </c>
    </row>
    <row r="179" spans="1:26" s="24" customFormat="1" hidden="1" outlineLevel="2" x14ac:dyDescent="0.3">
      <c r="A179" s="27"/>
      <c r="B179" s="12" t="str">
        <f>CONCATENATE("          ", "6275", " - ", "SUBSCRIPTIONS")</f>
        <v xml:space="preserve">          6275 - SUBSCRIPTIONS</v>
      </c>
      <c r="C179" s="12"/>
      <c r="D179" s="8"/>
      <c r="E179" s="3"/>
      <c r="F179" s="7">
        <f t="shared" si="94"/>
        <v>0</v>
      </c>
      <c r="G179" s="3"/>
      <c r="H179" s="8">
        <v>75</v>
      </c>
      <c r="I179" s="3"/>
      <c r="J179" s="7">
        <f t="shared" si="95"/>
        <v>1.7216274420252286E-4</v>
      </c>
      <c r="K179" s="3"/>
      <c r="L179" s="8">
        <f t="shared" si="96"/>
        <v>-75</v>
      </c>
      <c r="M179" s="3"/>
      <c r="N179" s="7">
        <f t="shared" si="97"/>
        <v>-1</v>
      </c>
      <c r="O179" s="12"/>
      <c r="P179" s="8"/>
      <c r="Q179" s="3"/>
      <c r="R179" s="7">
        <f t="shared" si="98"/>
        <v>0</v>
      </c>
      <c r="S179" s="3"/>
      <c r="T179" s="8">
        <v>75</v>
      </c>
      <c r="U179" s="3"/>
      <c r="V179" s="7">
        <f t="shared" si="99"/>
        <v>1.7216274420252286E-4</v>
      </c>
      <c r="W179" s="3"/>
      <c r="X179" s="8">
        <f t="shared" si="100"/>
        <v>-75</v>
      </c>
      <c r="Y179" s="3"/>
      <c r="Z179" s="7">
        <f t="shared" si="101"/>
        <v>-1</v>
      </c>
    </row>
    <row r="180" spans="1:26" s="29" customFormat="1" outlineLevel="1" collapsed="1" x14ac:dyDescent="0.3">
      <c r="A180" s="28"/>
      <c r="B180" s="14" t="str">
        <f>CONCATENATE("     ","Supplies                                          ")</f>
        <v xml:space="preserve">     Supplies                                          </v>
      </c>
      <c r="C180" s="14"/>
      <c r="D180" s="1">
        <f>SUM(OSRRefD22_18x_0)</f>
        <v>9128.16</v>
      </c>
      <c r="E180" s="1"/>
      <c r="F180" s="5">
        <f t="shared" ref="F180:F186" si="102">IF(D$12=0,0,D180/D$12)</f>
        <v>2.8904462798695848E-2</v>
      </c>
      <c r="G180" s="1"/>
      <c r="H180" s="1">
        <f>SUM(OSRRefH22_18x_0)</f>
        <v>12188.04</v>
      </c>
      <c r="I180" s="1"/>
      <c r="J180" s="5">
        <f t="shared" ref="J180:J186" si="103">IF(H$12=0,0,H180/H$12)</f>
        <v>2.7977685504668226E-2</v>
      </c>
      <c r="K180" s="1"/>
      <c r="L180" s="1">
        <f t="shared" ref="L180:L186" si="104">+D180-H180</f>
        <v>-3059.880000000001</v>
      </c>
      <c r="M180" s="1"/>
      <c r="N180" s="5">
        <f t="shared" ref="N180:N186" si="105">IF(H180=0,0,L180/H180)</f>
        <v>-0.25105595321315</v>
      </c>
      <c r="O180" s="14"/>
      <c r="P180" s="1">
        <f>SUM(OSRRefP22_18x_0)</f>
        <v>9128.16</v>
      </c>
      <c r="Q180" s="1"/>
      <c r="R180" s="5">
        <f t="shared" ref="R180:R186" si="106">IF(P$12=0,0,P180/P$12)</f>
        <v>2.8904462798695848E-2</v>
      </c>
      <c r="S180" s="1"/>
      <c r="T180" s="1">
        <f>SUM(OSRRefT22_18x_0)</f>
        <v>12188.04</v>
      </c>
      <c r="U180" s="1"/>
      <c r="V180" s="5">
        <f t="shared" ref="V180:V186" si="107">IF(T$12=0,0,T180/T$12)</f>
        <v>2.7977685504668226E-2</v>
      </c>
      <c r="W180" s="1"/>
      <c r="X180" s="1">
        <f t="shared" ref="X180:X186" si="108">+P180-T180</f>
        <v>-3059.880000000001</v>
      </c>
      <c r="Y180" s="1"/>
      <c r="Z180" s="5">
        <f t="shared" ref="Z180:Z186" si="109">IF(T180=0,0,X180/T180)</f>
        <v>-0.25105595321315</v>
      </c>
    </row>
    <row r="181" spans="1:26" s="24" customFormat="1" hidden="1" outlineLevel="2" x14ac:dyDescent="0.3">
      <c r="A181" s="27"/>
      <c r="B181" s="12" t="str">
        <f>CONCATENATE("          ", "6235", " - ", "COVID-19 EXPENSES")</f>
        <v xml:space="preserve">          6235 - COVID-19 EXPENSES</v>
      </c>
      <c r="C181" s="12"/>
      <c r="D181" s="8">
        <v>272.22000000000003</v>
      </c>
      <c r="E181" s="3"/>
      <c r="F181" s="7">
        <f t="shared" si="102"/>
        <v>8.6198892910082476E-4</v>
      </c>
      <c r="G181" s="3"/>
      <c r="H181" s="8">
        <v>6680.23</v>
      </c>
      <c r="I181" s="3"/>
      <c r="J181" s="7">
        <f t="shared" si="103"/>
        <v>1.5334489716053589E-2</v>
      </c>
      <c r="K181" s="3"/>
      <c r="L181" s="8">
        <f t="shared" si="104"/>
        <v>-6408.0099999999993</v>
      </c>
      <c r="M181" s="3"/>
      <c r="N181" s="7">
        <f t="shared" si="105"/>
        <v>-0.95924990606610849</v>
      </c>
      <c r="O181" s="12"/>
      <c r="P181" s="8">
        <v>272.22000000000003</v>
      </c>
      <c r="Q181" s="3"/>
      <c r="R181" s="7">
        <f t="shared" si="106"/>
        <v>8.6198892910082476E-4</v>
      </c>
      <c r="S181" s="3"/>
      <c r="T181" s="8">
        <v>6680.23</v>
      </c>
      <c r="U181" s="3"/>
      <c r="V181" s="7">
        <f t="shared" si="107"/>
        <v>1.5334489716053589E-2</v>
      </c>
      <c r="W181" s="3"/>
      <c r="X181" s="8">
        <f t="shared" si="108"/>
        <v>-6408.0099999999993</v>
      </c>
      <c r="Y181" s="3"/>
      <c r="Z181" s="7">
        <f t="shared" si="109"/>
        <v>-0.95924990606610849</v>
      </c>
    </row>
    <row r="182" spans="1:26" s="24" customFormat="1" hidden="1" outlineLevel="2" x14ac:dyDescent="0.3">
      <c r="A182" s="27"/>
      <c r="B182" s="12" t="str">
        <f>CONCATENATE("          ", "6237", " - ", "JANITORIAL SUPPLIES")</f>
        <v xml:space="preserve">          6237 - JANITORIAL SUPPLIES</v>
      </c>
      <c r="C182" s="12"/>
      <c r="D182" s="8">
        <v>655.97</v>
      </c>
      <c r="E182" s="3"/>
      <c r="F182" s="7">
        <f t="shared" si="102"/>
        <v>2.0771393645664096E-3</v>
      </c>
      <c r="G182" s="3"/>
      <c r="H182" s="8">
        <v>139.31</v>
      </c>
      <c r="I182" s="3"/>
      <c r="J182" s="7">
        <f t="shared" si="103"/>
        <v>3.1978655859804615E-4</v>
      </c>
      <c r="K182" s="3"/>
      <c r="L182" s="8">
        <f t="shared" si="104"/>
        <v>516.66000000000008</v>
      </c>
      <c r="M182" s="3"/>
      <c r="N182" s="7">
        <f t="shared" si="105"/>
        <v>3.7087071997702972</v>
      </c>
      <c r="O182" s="12"/>
      <c r="P182" s="8">
        <v>655.97</v>
      </c>
      <c r="Q182" s="3"/>
      <c r="R182" s="7">
        <f t="shared" si="106"/>
        <v>2.0771393645664096E-3</v>
      </c>
      <c r="S182" s="3"/>
      <c r="T182" s="8">
        <v>139.31</v>
      </c>
      <c r="U182" s="3"/>
      <c r="V182" s="7">
        <f t="shared" si="107"/>
        <v>3.1978655859804615E-4</v>
      </c>
      <c r="W182" s="3"/>
      <c r="X182" s="8">
        <f t="shared" si="108"/>
        <v>516.66000000000008</v>
      </c>
      <c r="Y182" s="3"/>
      <c r="Z182" s="7">
        <f t="shared" si="109"/>
        <v>3.7087071997702972</v>
      </c>
    </row>
    <row r="183" spans="1:26" s="24" customFormat="1" hidden="1" outlineLevel="2" x14ac:dyDescent="0.3">
      <c r="A183" s="27"/>
      <c r="B183" s="12" t="str">
        <f>CONCATENATE("          ", "6241", " - ", "OFFICE EXPENSE")</f>
        <v xml:space="preserve">          6241 - OFFICE EXPENSE</v>
      </c>
      <c r="C183" s="12"/>
      <c r="D183" s="8">
        <v>415.21</v>
      </c>
      <c r="E183" s="3"/>
      <c r="F183" s="7">
        <f t="shared" si="102"/>
        <v>1.314769022305317E-3</v>
      </c>
      <c r="G183" s="3"/>
      <c r="H183" s="8">
        <v>430.41</v>
      </c>
      <c r="I183" s="3"/>
      <c r="J183" s="7">
        <f t="shared" si="103"/>
        <v>9.8800755642943828E-4</v>
      </c>
      <c r="K183" s="3"/>
      <c r="L183" s="8">
        <f t="shared" si="104"/>
        <v>-15.200000000000045</v>
      </c>
      <c r="M183" s="3"/>
      <c r="N183" s="7">
        <f t="shared" si="105"/>
        <v>-3.5315164610487781E-2</v>
      </c>
      <c r="O183" s="12"/>
      <c r="P183" s="8">
        <v>415.21</v>
      </c>
      <c r="Q183" s="3"/>
      <c r="R183" s="7">
        <f t="shared" si="106"/>
        <v>1.314769022305317E-3</v>
      </c>
      <c r="S183" s="3"/>
      <c r="T183" s="8">
        <v>430.41</v>
      </c>
      <c r="U183" s="3"/>
      <c r="V183" s="7">
        <f t="shared" si="107"/>
        <v>9.8800755642943828E-4</v>
      </c>
      <c r="W183" s="3"/>
      <c r="X183" s="8">
        <f t="shared" si="108"/>
        <v>-15.200000000000045</v>
      </c>
      <c r="Y183" s="3"/>
      <c r="Z183" s="7">
        <f t="shared" si="109"/>
        <v>-3.5315164610487781E-2</v>
      </c>
    </row>
    <row r="184" spans="1:26" s="24" customFormat="1" hidden="1" outlineLevel="2" x14ac:dyDescent="0.3">
      <c r="A184" s="27"/>
      <c r="B184" s="12" t="str">
        <f>CONCATENATE("          ", "6243", " - ", "PAPER SUPPLIES")</f>
        <v xml:space="preserve">          6243 - PAPER SUPPLIES</v>
      </c>
      <c r="C184" s="12"/>
      <c r="D184" s="8">
        <v>1649.24</v>
      </c>
      <c r="E184" s="3"/>
      <c r="F184" s="7">
        <f t="shared" si="102"/>
        <v>5.2223445060254363E-3</v>
      </c>
      <c r="G184" s="3"/>
      <c r="H184" s="8">
        <v>1080</v>
      </c>
      <c r="I184" s="3"/>
      <c r="J184" s="7">
        <f t="shared" si="103"/>
        <v>2.4791435165163293E-3</v>
      </c>
      <c r="K184" s="3"/>
      <c r="L184" s="8">
        <f t="shared" si="104"/>
        <v>569.24</v>
      </c>
      <c r="M184" s="3"/>
      <c r="N184" s="7">
        <f t="shared" si="105"/>
        <v>0.52707407407407403</v>
      </c>
      <c r="O184" s="12"/>
      <c r="P184" s="8">
        <v>1649.24</v>
      </c>
      <c r="Q184" s="3"/>
      <c r="R184" s="7">
        <f t="shared" si="106"/>
        <v>5.2223445060254363E-3</v>
      </c>
      <c r="S184" s="3"/>
      <c r="T184" s="8">
        <v>1080</v>
      </c>
      <c r="U184" s="3"/>
      <c r="V184" s="7">
        <f t="shared" si="107"/>
        <v>2.4791435165163293E-3</v>
      </c>
      <c r="W184" s="3"/>
      <c r="X184" s="8">
        <f t="shared" si="108"/>
        <v>569.24</v>
      </c>
      <c r="Y184" s="3"/>
      <c r="Z184" s="7">
        <f t="shared" si="109"/>
        <v>0.52707407407407403</v>
      </c>
    </row>
    <row r="185" spans="1:26" s="24" customFormat="1" hidden="1" outlineLevel="2" x14ac:dyDescent="0.3">
      <c r="A185" s="27"/>
      <c r="B185" s="12" t="str">
        <f>CONCATENATE("          ", "6245", " - ", "PRINTING")</f>
        <v xml:space="preserve">          6245 - PRINTING</v>
      </c>
      <c r="C185" s="12"/>
      <c r="D185" s="8">
        <v>251.64</v>
      </c>
      <c r="E185" s="3"/>
      <c r="F185" s="7">
        <f t="shared" si="102"/>
        <v>7.9682203408614914E-4</v>
      </c>
      <c r="G185" s="3"/>
      <c r="H185" s="8">
        <v>-1543.5</v>
      </c>
      <c r="I185" s="3"/>
      <c r="J185" s="7">
        <f t="shared" si="103"/>
        <v>-3.5431092756879204E-3</v>
      </c>
      <c r="K185" s="3"/>
      <c r="L185" s="8">
        <f t="shared" si="104"/>
        <v>1795.1399999999999</v>
      </c>
      <c r="M185" s="3"/>
      <c r="N185" s="7">
        <f t="shared" si="105"/>
        <v>-1.1630320699708454</v>
      </c>
      <c r="O185" s="12"/>
      <c r="P185" s="8">
        <v>251.64</v>
      </c>
      <c r="Q185" s="3"/>
      <c r="R185" s="7">
        <f t="shared" si="106"/>
        <v>7.9682203408614914E-4</v>
      </c>
      <c r="S185" s="3"/>
      <c r="T185" s="8">
        <v>-1543.5</v>
      </c>
      <c r="U185" s="3"/>
      <c r="V185" s="7">
        <f t="shared" si="107"/>
        <v>-3.5431092756879204E-3</v>
      </c>
      <c r="W185" s="3"/>
      <c r="X185" s="8">
        <f t="shared" si="108"/>
        <v>1795.1399999999999</v>
      </c>
      <c r="Y185" s="3"/>
      <c r="Z185" s="7">
        <f t="shared" si="109"/>
        <v>-1.1630320699708454</v>
      </c>
    </row>
    <row r="186" spans="1:26" s="24" customFormat="1" hidden="1" outlineLevel="2" x14ac:dyDescent="0.3">
      <c r="A186" s="27"/>
      <c r="B186" s="12" t="str">
        <f>CONCATENATE("          ", "6247", " - ", "STORE SUPPLIES")</f>
        <v xml:space="preserve">          6247 - STORE SUPPLIES</v>
      </c>
      <c r="C186" s="12"/>
      <c r="D186" s="8">
        <v>5883.88</v>
      </c>
      <c r="E186" s="3"/>
      <c r="F186" s="7">
        <f t="shared" si="102"/>
        <v>1.8631398942611715E-2</v>
      </c>
      <c r="G186" s="3"/>
      <c r="H186" s="8">
        <v>5401.59</v>
      </c>
      <c r="I186" s="3"/>
      <c r="J186" s="7">
        <f t="shared" si="103"/>
        <v>1.239936743275874E-2</v>
      </c>
      <c r="K186" s="3"/>
      <c r="L186" s="8">
        <f t="shared" si="104"/>
        <v>482.28999999999996</v>
      </c>
      <c r="M186" s="3"/>
      <c r="N186" s="7">
        <f t="shared" si="105"/>
        <v>8.9286672998135724E-2</v>
      </c>
      <c r="O186" s="12"/>
      <c r="P186" s="8">
        <v>5883.88</v>
      </c>
      <c r="Q186" s="3"/>
      <c r="R186" s="7">
        <f t="shared" si="106"/>
        <v>1.8631398942611715E-2</v>
      </c>
      <c r="S186" s="3"/>
      <c r="T186" s="8">
        <v>5401.59</v>
      </c>
      <c r="U186" s="3"/>
      <c r="V186" s="7">
        <f t="shared" si="107"/>
        <v>1.239936743275874E-2</v>
      </c>
      <c r="W186" s="3"/>
      <c r="X186" s="8">
        <f t="shared" si="108"/>
        <v>482.28999999999996</v>
      </c>
      <c r="Y186" s="3"/>
      <c r="Z186" s="7">
        <f t="shared" si="109"/>
        <v>8.9286672998135724E-2</v>
      </c>
    </row>
    <row r="187" spans="1:26" s="29" customFormat="1" outlineLevel="1" collapsed="1" x14ac:dyDescent="0.3">
      <c r="A187" s="28"/>
      <c r="B187" s="14" t="str">
        <f>CONCATENATE("     ","Telephone/Data Lines                              ")</f>
        <v xml:space="preserve">     Telephone/Data Lines                              </v>
      </c>
      <c r="C187" s="14"/>
      <c r="D187" s="1">
        <f>SUM(OSRRefD22_19x_0)</f>
        <v>1851.74</v>
      </c>
      <c r="E187" s="1"/>
      <c r="F187" s="5">
        <f t="shared" ref="F187:F189" si="110">IF(D$12=0,0,D187/D$12)</f>
        <v>5.8635639540561358E-3</v>
      </c>
      <c r="G187" s="1"/>
      <c r="H187" s="1">
        <f>SUM(OSRRefH22_19x_0)</f>
        <v>2678.05</v>
      </c>
      <c r="I187" s="1"/>
      <c r="J187" s="5">
        <f t="shared" ref="J187:J189" si="111">IF(H$12=0,0,H187/H$12)</f>
        <v>6.147472494820885E-3</v>
      </c>
      <c r="K187" s="1"/>
      <c r="L187" s="1">
        <f t="shared" ref="L187:L189" si="112">+D187-H187</f>
        <v>-826.31000000000017</v>
      </c>
      <c r="M187" s="1"/>
      <c r="N187" s="5">
        <f t="shared" ref="N187:N189" si="113">IF(H187=0,0,L187/H187)</f>
        <v>-0.30854913089748143</v>
      </c>
      <c r="O187" s="14"/>
      <c r="P187" s="1">
        <f>SUM(OSRRefP22_19x_0)</f>
        <v>1851.74</v>
      </c>
      <c r="Q187" s="1"/>
      <c r="R187" s="5">
        <f t="shared" ref="R187:R189" si="114">IF(P$12=0,0,P187/P$12)</f>
        <v>5.8635639540561358E-3</v>
      </c>
      <c r="S187" s="1"/>
      <c r="T187" s="1">
        <f>SUM(OSRRefT22_19x_0)</f>
        <v>2678.05</v>
      </c>
      <c r="U187" s="1"/>
      <c r="V187" s="5">
        <f t="shared" ref="V187:V189" si="115">IF(T$12=0,0,T187/T$12)</f>
        <v>6.147472494820885E-3</v>
      </c>
      <c r="W187" s="1"/>
      <c r="X187" s="1">
        <f t="shared" ref="X187:X189" si="116">+P187-T187</f>
        <v>-826.31000000000017</v>
      </c>
      <c r="Y187" s="1"/>
      <c r="Z187" s="5">
        <f t="shared" ref="Z187:Z189" si="117">IF(T187=0,0,X187/T187)</f>
        <v>-0.30854913089748143</v>
      </c>
    </row>
    <row r="188" spans="1:26" s="24" customFormat="1" hidden="1" outlineLevel="2" x14ac:dyDescent="0.3">
      <c r="A188" s="27"/>
      <c r="B188" s="12" t="str">
        <f>CONCATENATE("          ", "6303", " - ", "DATA PHONE LINES")</f>
        <v xml:space="preserve">          6303 - DATA PHONE LINES</v>
      </c>
      <c r="C188" s="12"/>
      <c r="D188" s="8">
        <v>295</v>
      </c>
      <c r="E188" s="3"/>
      <c r="F188" s="7">
        <f t="shared" si="110"/>
        <v>9.3412215885953752E-4</v>
      </c>
      <c r="G188" s="3"/>
      <c r="H188" s="8">
        <v>295</v>
      </c>
      <c r="I188" s="3"/>
      <c r="J188" s="7">
        <f t="shared" si="111"/>
        <v>6.7717346052992321E-4</v>
      </c>
      <c r="K188" s="3"/>
      <c r="L188" s="8">
        <f t="shared" si="112"/>
        <v>0</v>
      </c>
      <c r="M188" s="3"/>
      <c r="N188" s="7">
        <f t="shared" si="113"/>
        <v>0</v>
      </c>
      <c r="O188" s="12"/>
      <c r="P188" s="8">
        <v>295</v>
      </c>
      <c r="Q188" s="3"/>
      <c r="R188" s="7">
        <f t="shared" si="114"/>
        <v>9.3412215885953752E-4</v>
      </c>
      <c r="S188" s="3"/>
      <c r="T188" s="8">
        <v>295</v>
      </c>
      <c r="U188" s="3"/>
      <c r="V188" s="7">
        <f t="shared" si="115"/>
        <v>6.7717346052992321E-4</v>
      </c>
      <c r="W188" s="3"/>
      <c r="X188" s="8">
        <f t="shared" si="116"/>
        <v>0</v>
      </c>
      <c r="Y188" s="3"/>
      <c r="Z188" s="7">
        <f t="shared" si="117"/>
        <v>0</v>
      </c>
    </row>
    <row r="189" spans="1:26" s="24" customFormat="1" hidden="1" outlineLevel="2" x14ac:dyDescent="0.3">
      <c r="A189" s="27"/>
      <c r="B189" s="12" t="str">
        <f>CONCATENATE("          ", "6309", " - ", "TELEPHONE")</f>
        <v xml:space="preserve">          6309 - TELEPHONE</v>
      </c>
      <c r="C189" s="12"/>
      <c r="D189" s="8">
        <v>1556.74</v>
      </c>
      <c r="E189" s="3"/>
      <c r="F189" s="7">
        <f t="shared" si="110"/>
        <v>4.9294417951965984E-3</v>
      </c>
      <c r="G189" s="3"/>
      <c r="H189" s="8">
        <v>2383.0500000000002</v>
      </c>
      <c r="I189" s="3"/>
      <c r="J189" s="7">
        <f t="shared" si="111"/>
        <v>5.4702990342909621E-3</v>
      </c>
      <c r="K189" s="3"/>
      <c r="L189" s="8">
        <f t="shared" si="112"/>
        <v>-826.31000000000017</v>
      </c>
      <c r="M189" s="3"/>
      <c r="N189" s="7">
        <f t="shared" si="113"/>
        <v>-0.34674471790352701</v>
      </c>
      <c r="O189" s="12"/>
      <c r="P189" s="8">
        <v>1556.74</v>
      </c>
      <c r="Q189" s="3"/>
      <c r="R189" s="7">
        <f t="shared" si="114"/>
        <v>4.9294417951965984E-3</v>
      </c>
      <c r="S189" s="3"/>
      <c r="T189" s="8">
        <v>2383.0500000000002</v>
      </c>
      <c r="U189" s="3"/>
      <c r="V189" s="7">
        <f t="shared" si="115"/>
        <v>5.4702990342909621E-3</v>
      </c>
      <c r="W189" s="3"/>
      <c r="X189" s="8">
        <f t="shared" si="116"/>
        <v>-826.31000000000017</v>
      </c>
      <c r="Y189" s="3"/>
      <c r="Z189" s="7">
        <f t="shared" si="117"/>
        <v>-0.34674471790352701</v>
      </c>
    </row>
    <row r="190" spans="1:26" s="29" customFormat="1" outlineLevel="1" collapsed="1" x14ac:dyDescent="0.3">
      <c r="A190" s="28"/>
      <c r="B190" s="14" t="str">
        <f>CONCATENATE("     ","Training                                          ")</f>
        <v xml:space="preserve">     Training                                          </v>
      </c>
      <c r="C190" s="14"/>
      <c r="D190" s="1">
        <f>SUM(OSRRefD22_20x_0)</f>
        <v>0</v>
      </c>
      <c r="E190" s="1"/>
      <c r="F190" s="5">
        <f t="shared" ref="F190:F195" si="118">IF(D$12=0,0,D190/D$12)</f>
        <v>0</v>
      </c>
      <c r="G190" s="1"/>
      <c r="H190" s="1">
        <f>SUM(OSRRefH22_20x_0)</f>
        <v>131.63</v>
      </c>
      <c r="I190" s="1"/>
      <c r="J190" s="5">
        <f t="shared" ref="J190:J195" si="119">IF(H$12=0,0,H190/H$12)</f>
        <v>3.0215709359170779E-4</v>
      </c>
      <c r="K190" s="1"/>
      <c r="L190" s="1">
        <f t="shared" ref="L190:L195" si="120">+D190-H190</f>
        <v>-131.63</v>
      </c>
      <c r="M190" s="1"/>
      <c r="N190" s="5">
        <f t="shared" ref="N190:N195" si="121">IF(H190=0,0,L190/H190)</f>
        <v>-1</v>
      </c>
      <c r="O190" s="14"/>
      <c r="P190" s="1">
        <f>SUM(OSRRefP22_20x_0)</f>
        <v>0</v>
      </c>
      <c r="Q190" s="1"/>
      <c r="R190" s="5">
        <f t="shared" ref="R190:R195" si="122">IF(P$12=0,0,P190/P$12)</f>
        <v>0</v>
      </c>
      <c r="S190" s="1"/>
      <c r="T190" s="1">
        <f>SUM(OSRRefT22_20x_0)</f>
        <v>131.63</v>
      </c>
      <c r="U190" s="1"/>
      <c r="V190" s="5">
        <f t="shared" ref="V190:V195" si="123">IF(T$12=0,0,T190/T$12)</f>
        <v>3.0215709359170779E-4</v>
      </c>
      <c r="W190" s="1"/>
      <c r="X190" s="1">
        <f t="shared" ref="X190:X195" si="124">+P190-T190</f>
        <v>-131.63</v>
      </c>
      <c r="Y190" s="1"/>
      <c r="Z190" s="5">
        <f t="shared" ref="Z190:Z195" si="125">IF(T190=0,0,X190/T190)</f>
        <v>-1</v>
      </c>
    </row>
    <row r="191" spans="1:26" s="24" customFormat="1" hidden="1" outlineLevel="2" x14ac:dyDescent="0.3">
      <c r="A191" s="27"/>
      <c r="B191" s="12" t="str">
        <f>CONCATENATE("          ", "6376", " - ", "TRAINING")</f>
        <v xml:space="preserve">          6376 - TRAINING</v>
      </c>
      <c r="C191" s="12"/>
      <c r="D191" s="8"/>
      <c r="E191" s="3"/>
      <c r="F191" s="7">
        <f t="shared" si="118"/>
        <v>0</v>
      </c>
      <c r="G191" s="3"/>
      <c r="H191" s="8">
        <v>131.63</v>
      </c>
      <c r="I191" s="3"/>
      <c r="J191" s="7">
        <f t="shared" si="119"/>
        <v>3.0215709359170779E-4</v>
      </c>
      <c r="K191" s="3"/>
      <c r="L191" s="8">
        <f t="shared" si="120"/>
        <v>-131.63</v>
      </c>
      <c r="M191" s="3"/>
      <c r="N191" s="7">
        <f t="shared" si="121"/>
        <v>-1</v>
      </c>
      <c r="O191" s="12"/>
      <c r="P191" s="8"/>
      <c r="Q191" s="3"/>
      <c r="R191" s="7">
        <f t="shared" si="122"/>
        <v>0</v>
      </c>
      <c r="S191" s="3"/>
      <c r="T191" s="8">
        <v>131.63</v>
      </c>
      <c r="U191" s="3"/>
      <c r="V191" s="7">
        <f t="shared" si="123"/>
        <v>3.0215709359170779E-4</v>
      </c>
      <c r="W191" s="3"/>
      <c r="X191" s="8">
        <f t="shared" si="124"/>
        <v>-131.63</v>
      </c>
      <c r="Y191" s="3"/>
      <c r="Z191" s="7">
        <f t="shared" si="125"/>
        <v>-1</v>
      </c>
    </row>
    <row r="192" spans="1:26" s="29" customFormat="1" outlineLevel="1" collapsed="1" x14ac:dyDescent="0.3">
      <c r="A192" s="28"/>
      <c r="B192" s="14" t="str">
        <f>CONCATENATE("     ","Travel                                            ")</f>
        <v xml:space="preserve">     Travel                                            </v>
      </c>
      <c r="C192" s="14"/>
      <c r="D192" s="1">
        <f>SUM(OSRRefD22_21x_0)</f>
        <v>683.14</v>
      </c>
      <c r="E192" s="1"/>
      <c r="F192" s="5">
        <f t="shared" si="118"/>
        <v>2.163173598655269E-3</v>
      </c>
      <c r="G192" s="1"/>
      <c r="H192" s="1">
        <f>SUM(OSRRefH22_21x_0)</f>
        <v>275.20999999999998</v>
      </c>
      <c r="I192" s="1"/>
      <c r="J192" s="5">
        <f t="shared" si="119"/>
        <v>6.317454510930175E-4</v>
      </c>
      <c r="K192" s="1"/>
      <c r="L192" s="1">
        <f t="shared" si="120"/>
        <v>407.93</v>
      </c>
      <c r="M192" s="1"/>
      <c r="N192" s="5">
        <f t="shared" si="121"/>
        <v>1.4822499182442499</v>
      </c>
      <c r="O192" s="14"/>
      <c r="P192" s="1">
        <f>SUM(OSRRefP22_21x_0)</f>
        <v>683.14</v>
      </c>
      <c r="Q192" s="1"/>
      <c r="R192" s="5">
        <f t="shared" si="122"/>
        <v>2.163173598655269E-3</v>
      </c>
      <c r="S192" s="1"/>
      <c r="T192" s="1">
        <f>SUM(OSRRefT22_21x_0)</f>
        <v>275.20999999999998</v>
      </c>
      <c r="U192" s="1"/>
      <c r="V192" s="5">
        <f t="shared" si="123"/>
        <v>6.317454510930175E-4</v>
      </c>
      <c r="W192" s="1"/>
      <c r="X192" s="1">
        <f t="shared" si="124"/>
        <v>407.93</v>
      </c>
      <c r="Y192" s="1"/>
      <c r="Z192" s="5">
        <f t="shared" si="125"/>
        <v>1.4822499182442499</v>
      </c>
    </row>
    <row r="193" spans="1:26" s="24" customFormat="1" hidden="1" outlineLevel="2" x14ac:dyDescent="0.3">
      <c r="A193" s="27"/>
      <c r="B193" s="12" t="str">
        <f>CONCATENATE("          ", "6292", " - ", "TRAVEL/CONFERENCE")</f>
        <v xml:space="preserve">          6292 - TRAVEL/CONFERENCE</v>
      </c>
      <c r="C193" s="12"/>
      <c r="D193" s="8">
        <v>495</v>
      </c>
      <c r="E193" s="3"/>
      <c r="F193" s="7">
        <f t="shared" si="118"/>
        <v>1.5674253174083764E-3</v>
      </c>
      <c r="G193" s="3"/>
      <c r="H193" s="8">
        <v>0.16</v>
      </c>
      <c r="I193" s="3"/>
      <c r="J193" s="7">
        <f t="shared" si="119"/>
        <v>3.6728052096538211E-7</v>
      </c>
      <c r="K193" s="3"/>
      <c r="L193" s="8">
        <f t="shared" si="120"/>
        <v>494.84</v>
      </c>
      <c r="M193" s="3"/>
      <c r="N193" s="7">
        <f t="shared" si="121"/>
        <v>3092.75</v>
      </c>
      <c r="O193" s="12"/>
      <c r="P193" s="8">
        <v>495</v>
      </c>
      <c r="Q193" s="3"/>
      <c r="R193" s="7">
        <f t="shared" si="122"/>
        <v>1.5674253174083764E-3</v>
      </c>
      <c r="S193" s="3"/>
      <c r="T193" s="8">
        <v>0.16</v>
      </c>
      <c r="U193" s="3"/>
      <c r="V193" s="7">
        <f t="shared" si="123"/>
        <v>3.6728052096538211E-7</v>
      </c>
      <c r="W193" s="3"/>
      <c r="X193" s="8">
        <f t="shared" si="124"/>
        <v>494.84</v>
      </c>
      <c r="Y193" s="3"/>
      <c r="Z193" s="7">
        <f t="shared" si="125"/>
        <v>3092.75</v>
      </c>
    </row>
    <row r="194" spans="1:26" s="24" customFormat="1" hidden="1" outlineLevel="2" x14ac:dyDescent="0.3">
      <c r="A194" s="27"/>
      <c r="B194" s="12" t="str">
        <f>CONCATENATE("          ", "6294", " - ", "TRAVEL OPERATIONAL")</f>
        <v xml:space="preserve">          6294 - TRAVEL OPERATIONAL</v>
      </c>
      <c r="C194" s="12"/>
      <c r="D194" s="8">
        <v>188.14</v>
      </c>
      <c r="E194" s="3"/>
      <c r="F194" s="7">
        <f t="shared" si="118"/>
        <v>5.9574828124689275E-4</v>
      </c>
      <c r="G194" s="3"/>
      <c r="H194" s="8">
        <v>215.16</v>
      </c>
      <c r="I194" s="3"/>
      <c r="J194" s="7">
        <f t="shared" si="119"/>
        <v>4.9390048056819757E-4</v>
      </c>
      <c r="K194" s="3"/>
      <c r="L194" s="8">
        <f t="shared" si="120"/>
        <v>-27.02000000000001</v>
      </c>
      <c r="M194" s="3"/>
      <c r="N194" s="7">
        <f t="shared" si="121"/>
        <v>-0.12558096300427593</v>
      </c>
      <c r="O194" s="12"/>
      <c r="P194" s="8">
        <v>188.14</v>
      </c>
      <c r="Q194" s="3"/>
      <c r="R194" s="7">
        <f t="shared" si="122"/>
        <v>5.9574828124689275E-4</v>
      </c>
      <c r="S194" s="3"/>
      <c r="T194" s="8">
        <v>215.16</v>
      </c>
      <c r="U194" s="3"/>
      <c r="V194" s="7">
        <f t="shared" si="123"/>
        <v>4.9390048056819757E-4</v>
      </c>
      <c r="W194" s="3"/>
      <c r="X194" s="8">
        <f t="shared" si="124"/>
        <v>-27.02000000000001</v>
      </c>
      <c r="Y194" s="3"/>
      <c r="Z194" s="7">
        <f t="shared" si="125"/>
        <v>-0.12558096300427593</v>
      </c>
    </row>
    <row r="195" spans="1:26" s="24" customFormat="1" hidden="1" outlineLevel="2" x14ac:dyDescent="0.3">
      <c r="A195" s="27"/>
      <c r="B195" s="12" t="str">
        <f>CONCATENATE("          ", "6298", " - ", "VEHICLE MILEAGE")</f>
        <v xml:space="preserve">          6298 - VEHICLE MILEAGE</v>
      </c>
      <c r="C195" s="12"/>
      <c r="D195" s="8"/>
      <c r="E195" s="3"/>
      <c r="F195" s="7">
        <f t="shared" si="118"/>
        <v>0</v>
      </c>
      <c r="G195" s="3"/>
      <c r="H195" s="8">
        <v>59.89</v>
      </c>
      <c r="I195" s="3"/>
      <c r="J195" s="7">
        <f t="shared" si="119"/>
        <v>1.3747769000385459E-4</v>
      </c>
      <c r="K195" s="3"/>
      <c r="L195" s="8">
        <f t="shared" si="120"/>
        <v>-59.89</v>
      </c>
      <c r="M195" s="3"/>
      <c r="N195" s="7">
        <f t="shared" si="121"/>
        <v>-1</v>
      </c>
      <c r="O195" s="12"/>
      <c r="P195" s="8"/>
      <c r="Q195" s="3"/>
      <c r="R195" s="7">
        <f t="shared" si="122"/>
        <v>0</v>
      </c>
      <c r="S195" s="3"/>
      <c r="T195" s="8">
        <v>59.89</v>
      </c>
      <c r="U195" s="3"/>
      <c r="V195" s="7">
        <f t="shared" si="123"/>
        <v>1.3747769000385459E-4</v>
      </c>
      <c r="W195" s="3"/>
      <c r="X195" s="8">
        <f t="shared" si="124"/>
        <v>-59.89</v>
      </c>
      <c r="Y195" s="3"/>
      <c r="Z195" s="7">
        <f t="shared" si="125"/>
        <v>-1</v>
      </c>
    </row>
    <row r="196" spans="1:26" s="29" customFormat="1" outlineLevel="1" collapsed="1" x14ac:dyDescent="0.3">
      <c r="A196" s="28"/>
      <c r="B196" s="14" t="str">
        <f>CONCATENATE("     ","Utilities                                         ")</f>
        <v xml:space="preserve">     Utilities                                         </v>
      </c>
      <c r="C196" s="14"/>
      <c r="D196" s="1">
        <f>SUM(OSRRefD22_22x_0)</f>
        <v>6036.49</v>
      </c>
      <c r="E196" s="1"/>
      <c r="F196" s="5">
        <f t="shared" ref="F196:F197" si="126">IF(D$12=0,0,D196/D$12)</f>
        <v>1.9114640917742405E-2</v>
      </c>
      <c r="G196" s="1"/>
      <c r="H196" s="1">
        <f>SUM(OSRRefH22_22x_0)</f>
        <v>6161.46</v>
      </c>
      <c r="I196" s="1"/>
      <c r="J196" s="5">
        <f t="shared" ref="J196:J197" si="127">IF(H$12=0,0,H196/H$12)</f>
        <v>1.414365149192102E-2</v>
      </c>
      <c r="K196" s="1"/>
      <c r="L196" s="1">
        <f t="shared" ref="L196:L197" si="128">+D196-H196</f>
        <v>-124.97000000000025</v>
      </c>
      <c r="M196" s="1"/>
      <c r="N196" s="5">
        <f t="shared" ref="N196:N197" si="129">IF(H196=0,0,L196/H196)</f>
        <v>-2.0282530439214123E-2</v>
      </c>
      <c r="O196" s="14"/>
      <c r="P196" s="1">
        <f>SUM(OSRRefP22_22x_0)</f>
        <v>6036.49</v>
      </c>
      <c r="Q196" s="1"/>
      <c r="R196" s="5">
        <f t="shared" ref="R196:R197" si="130">IF(P$12=0,0,P196/P$12)</f>
        <v>1.9114640917742405E-2</v>
      </c>
      <c r="S196" s="1"/>
      <c r="T196" s="1">
        <f>SUM(OSRRefT22_22x_0)</f>
        <v>6161.46</v>
      </c>
      <c r="U196" s="1"/>
      <c r="V196" s="5">
        <f t="shared" ref="V196:V197" si="131">IF(T$12=0,0,T196/T$12)</f>
        <v>1.414365149192102E-2</v>
      </c>
      <c r="W196" s="1"/>
      <c r="X196" s="1">
        <f t="shared" ref="X196:X197" si="132">+P196-T196</f>
        <v>-124.97000000000025</v>
      </c>
      <c r="Y196" s="1"/>
      <c r="Z196" s="5">
        <f t="shared" ref="Z196:Z197" si="133">IF(T196=0,0,X196/T196)</f>
        <v>-2.0282530439214123E-2</v>
      </c>
    </row>
    <row r="197" spans="1:26" s="24" customFormat="1" hidden="1" outlineLevel="2" x14ac:dyDescent="0.3">
      <c r="A197" s="27"/>
      <c r="B197" s="12" t="str">
        <f>CONCATENATE("          ", "6274", " - ", "UTILITIES")</f>
        <v xml:space="preserve">          6274 - UTILITIES</v>
      </c>
      <c r="C197" s="12"/>
      <c r="D197" s="8">
        <v>6036.49</v>
      </c>
      <c r="E197" s="3"/>
      <c r="F197" s="7">
        <f t="shared" si="126"/>
        <v>1.9114640917742405E-2</v>
      </c>
      <c r="G197" s="3"/>
      <c r="H197" s="8">
        <v>6161.46</v>
      </c>
      <c r="I197" s="3"/>
      <c r="J197" s="7">
        <f t="shared" si="127"/>
        <v>1.414365149192102E-2</v>
      </c>
      <c r="K197" s="3"/>
      <c r="L197" s="8">
        <f t="shared" si="128"/>
        <v>-124.97000000000025</v>
      </c>
      <c r="M197" s="3"/>
      <c r="N197" s="7">
        <f t="shared" si="129"/>
        <v>-2.0282530439214123E-2</v>
      </c>
      <c r="O197" s="12"/>
      <c r="P197" s="8">
        <v>6036.49</v>
      </c>
      <c r="Q197" s="3"/>
      <c r="R197" s="7">
        <f t="shared" si="130"/>
        <v>1.9114640917742405E-2</v>
      </c>
      <c r="S197" s="3"/>
      <c r="T197" s="8">
        <v>6161.46</v>
      </c>
      <c r="U197" s="3"/>
      <c r="V197" s="7">
        <f t="shared" si="131"/>
        <v>1.414365149192102E-2</v>
      </c>
      <c r="W197" s="3"/>
      <c r="X197" s="8">
        <f t="shared" si="132"/>
        <v>-124.97000000000025</v>
      </c>
      <c r="Y197" s="3"/>
      <c r="Z197" s="7">
        <f t="shared" si="133"/>
        <v>-2.0282530439214123E-2</v>
      </c>
    </row>
    <row r="198" spans="1:26" s="53" customFormat="1" x14ac:dyDescent="0.3">
      <c r="A198" s="37"/>
      <c r="B198" s="37"/>
      <c r="C198" s="37"/>
      <c r="D198" s="1"/>
      <c r="E198" s="1"/>
      <c r="F198" s="5"/>
      <c r="G198" s="1"/>
      <c r="H198" s="1"/>
      <c r="I198" s="1"/>
      <c r="J198" s="5"/>
      <c r="K198" s="1"/>
      <c r="L198" s="1"/>
      <c r="M198" s="1"/>
      <c r="N198" s="5"/>
      <c r="O198" s="37"/>
      <c r="P198" s="1"/>
      <c r="Q198" s="1"/>
      <c r="R198" s="5"/>
      <c r="S198" s="1"/>
      <c r="T198" s="1"/>
      <c r="U198" s="1"/>
      <c r="V198" s="5"/>
      <c r="W198" s="1"/>
      <c r="X198" s="1"/>
      <c r="Y198" s="1"/>
      <c r="Z198" s="5"/>
    </row>
    <row r="199" spans="1:26" s="23" customFormat="1" collapsed="1" x14ac:dyDescent="0.3">
      <c r="A199" s="10"/>
      <c r="B199" s="25" t="s">
        <v>292</v>
      </c>
      <c r="C199" s="10"/>
      <c r="D199" s="4">
        <f>SUM(OSRRefD25x_0)</f>
        <v>39834.230000000003</v>
      </c>
      <c r="E199" s="4"/>
      <c r="F199" s="11">
        <f t="shared" ref="F199:F204" si="134">IF(D$12=0,0,D199/D$12)</f>
        <v>0.1261357183868046</v>
      </c>
      <c r="G199" s="4"/>
      <c r="H199" s="4">
        <f>SUM(OSRRefH25x_0)</f>
        <v>197497.19</v>
      </c>
      <c r="I199" s="4"/>
      <c r="J199" s="11">
        <f t="shared" ref="J199:J204" si="135">IF(H$12=0,0,H199/H$12)</f>
        <v>0.45335544270249406</v>
      </c>
      <c r="K199" s="4"/>
      <c r="L199" s="4">
        <f t="shared" ref="L199:L204" si="136">+D199-H199</f>
        <v>-157662.96</v>
      </c>
      <c r="M199" s="4"/>
      <c r="N199" s="11">
        <f t="shared" ref="N199:N204" si="137">IF(H199=0,0,L199/H199)</f>
        <v>-0.79830482651424051</v>
      </c>
      <c r="O199" s="10"/>
      <c r="P199" s="4">
        <f>SUM(OSRRefP25x_0)</f>
        <v>39834.230000000003</v>
      </c>
      <c r="Q199" s="4"/>
      <c r="R199" s="11">
        <f t="shared" ref="R199:R204" si="138">IF(P$12=0,0,P199/P$12)</f>
        <v>0.1261357183868046</v>
      </c>
      <c r="S199" s="4"/>
      <c r="T199" s="4">
        <f>SUM(OSRRefT25x_0)</f>
        <v>197497.19</v>
      </c>
      <c r="U199" s="4"/>
      <c r="V199" s="11">
        <f t="shared" ref="V199:V204" si="139">IF(T$12=0,0,T199/T$12)</f>
        <v>0.45335544270249406</v>
      </c>
      <c r="W199" s="4"/>
      <c r="X199" s="4">
        <f t="shared" ref="X199:X204" si="140">+P199-T199</f>
        <v>-157662.96</v>
      </c>
      <c r="Y199" s="4"/>
      <c r="Z199" s="11">
        <f t="shared" ref="Z199:Z204" si="141">IF(T199=0,0,X199/T199)</f>
        <v>-0.79830482651424051</v>
      </c>
    </row>
    <row r="200" spans="1:26" s="24" customFormat="1" hidden="1" outlineLevel="1" x14ac:dyDescent="0.3">
      <c r="A200" s="50"/>
      <c r="B200" s="12" t="str">
        <f>CONCATENATE("          ", "4187", " - ", "NON-TAXABLE SALES-COMPUTER REP")</f>
        <v xml:space="preserve">          4187 - NON-TAXABLE SALES-COMPUTER REP</v>
      </c>
      <c r="C200" s="12"/>
      <c r="D200" s="3">
        <f>0</f>
        <v>0</v>
      </c>
      <c r="E200" s="3"/>
      <c r="F200" s="22">
        <f t="shared" si="134"/>
        <v>0</v>
      </c>
      <c r="G200" s="3"/>
      <c r="H200" s="3">
        <f>--19.99</f>
        <v>19.989999999999998</v>
      </c>
      <c r="I200" s="3"/>
      <c r="J200" s="22">
        <f t="shared" si="135"/>
        <v>4.5887110088112423E-5</v>
      </c>
      <c r="K200" s="3"/>
      <c r="L200" s="3">
        <f t="shared" si="136"/>
        <v>-19.989999999999998</v>
      </c>
      <c r="M200" s="3"/>
      <c r="N200" s="22">
        <f t="shared" si="137"/>
        <v>-1</v>
      </c>
      <c r="O200" s="12"/>
      <c r="P200" s="3">
        <f>0</f>
        <v>0</v>
      </c>
      <c r="Q200" s="3"/>
      <c r="R200" s="22">
        <f t="shared" si="138"/>
        <v>0</v>
      </c>
      <c r="S200" s="3"/>
      <c r="T200" s="3">
        <f>--19.99</f>
        <v>19.989999999999998</v>
      </c>
      <c r="U200" s="3"/>
      <c r="V200" s="22">
        <f t="shared" si="139"/>
        <v>4.5887110088112423E-5</v>
      </c>
      <c r="W200" s="3"/>
      <c r="X200" s="3">
        <f t="shared" si="140"/>
        <v>-19.989999999999998</v>
      </c>
      <c r="Y200" s="3"/>
      <c r="Z200" s="22">
        <f t="shared" si="141"/>
        <v>-1</v>
      </c>
    </row>
    <row r="201" spans="1:26" s="24" customFormat="1" hidden="1" outlineLevel="1" x14ac:dyDescent="0.3">
      <c r="A201" s="50"/>
      <c r="B201" s="12" t="str">
        <f>CONCATENATE("          ", "9087", " - ", "")</f>
        <v xml:space="preserve">          9087 - </v>
      </c>
      <c r="C201" s="12"/>
      <c r="D201" s="3">
        <f>--73.47</f>
        <v>73.47</v>
      </c>
      <c r="E201" s="3"/>
      <c r="F201" s="22">
        <f t="shared" si="134"/>
        <v>2.3264391529291599E-4</v>
      </c>
      <c r="G201" s="3"/>
      <c r="H201" s="3">
        <f>0</f>
        <v>0</v>
      </c>
      <c r="I201" s="3"/>
      <c r="J201" s="22">
        <f t="shared" si="135"/>
        <v>0</v>
      </c>
      <c r="K201" s="3"/>
      <c r="L201" s="3">
        <f t="shared" si="136"/>
        <v>73.47</v>
      </c>
      <c r="M201" s="3"/>
      <c r="N201" s="22">
        <f t="shared" si="137"/>
        <v>0</v>
      </c>
      <c r="O201" s="12"/>
      <c r="P201" s="3">
        <f>--73.47</f>
        <v>73.47</v>
      </c>
      <c r="Q201" s="3"/>
      <c r="R201" s="22">
        <f t="shared" si="138"/>
        <v>2.3264391529291599E-4</v>
      </c>
      <c r="S201" s="3"/>
      <c r="T201" s="3">
        <f>0</f>
        <v>0</v>
      </c>
      <c r="U201" s="3"/>
      <c r="V201" s="22">
        <f t="shared" si="139"/>
        <v>0</v>
      </c>
      <c r="W201" s="3"/>
      <c r="X201" s="3">
        <f t="shared" si="140"/>
        <v>73.47</v>
      </c>
      <c r="Y201" s="3"/>
      <c r="Z201" s="22">
        <f t="shared" si="141"/>
        <v>0</v>
      </c>
    </row>
    <row r="202" spans="1:26" s="24" customFormat="1" hidden="1" outlineLevel="1" x14ac:dyDescent="0.3">
      <c r="A202" s="50"/>
      <c r="B202" s="12" t="str">
        <f>CONCATENATE("          ", "9150", " - ", "MISC. INCOME")</f>
        <v xml:space="preserve">          9150 - MISC. INCOME</v>
      </c>
      <c r="C202" s="12"/>
      <c r="D202" s="3">
        <f>--33364.9</f>
        <v>33364.9</v>
      </c>
      <c r="E202" s="3"/>
      <c r="F202" s="22">
        <f t="shared" si="134"/>
        <v>0.10565048277333079</v>
      </c>
      <c r="G202" s="3"/>
      <c r="H202" s="3">
        <f>--35338.91</f>
        <v>35338.910000000003</v>
      </c>
      <c r="I202" s="3"/>
      <c r="J202" s="22">
        <f t="shared" si="135"/>
        <v>8.1120582969679708E-2</v>
      </c>
      <c r="K202" s="3"/>
      <c r="L202" s="3">
        <f t="shared" si="136"/>
        <v>-1974.010000000002</v>
      </c>
      <c r="M202" s="3"/>
      <c r="N202" s="22">
        <f t="shared" si="137"/>
        <v>-5.585939124890954E-2</v>
      </c>
      <c r="O202" s="12"/>
      <c r="P202" s="3">
        <f>--33364.9</f>
        <v>33364.9</v>
      </c>
      <c r="Q202" s="3"/>
      <c r="R202" s="22">
        <f t="shared" si="138"/>
        <v>0.10565048277333079</v>
      </c>
      <c r="S202" s="3"/>
      <c r="T202" s="3">
        <f>--35338.91</f>
        <v>35338.910000000003</v>
      </c>
      <c r="U202" s="3"/>
      <c r="V202" s="22">
        <f t="shared" si="139"/>
        <v>8.1120582969679708E-2</v>
      </c>
      <c r="W202" s="3"/>
      <c r="X202" s="3">
        <f t="shared" si="140"/>
        <v>-1974.010000000002</v>
      </c>
      <c r="Y202" s="3"/>
      <c r="Z202" s="22">
        <f t="shared" si="141"/>
        <v>-5.585939124890954E-2</v>
      </c>
    </row>
    <row r="203" spans="1:26" s="24" customFormat="1" hidden="1" outlineLevel="1" x14ac:dyDescent="0.3">
      <c r="A203" s="50"/>
      <c r="B203" s="12" t="str">
        <f>CONCATENATE("          ", "9152", " - ", "MISC. INCOME")</f>
        <v xml:space="preserve">          9152 - MISC. INCOME</v>
      </c>
      <c r="C203" s="12"/>
      <c r="D203" s="3">
        <f>--66.92</f>
        <v>66.92</v>
      </c>
      <c r="E203" s="3"/>
      <c r="F203" s="22">
        <f t="shared" si="134"/>
        <v>2.1190323685044152E-4</v>
      </c>
      <c r="G203" s="3"/>
      <c r="H203" s="3">
        <f>--1474.39</f>
        <v>1474.39</v>
      </c>
      <c r="I203" s="3"/>
      <c r="J203" s="22">
        <f t="shared" si="135"/>
        <v>3.3844670456634361E-3</v>
      </c>
      <c r="K203" s="3"/>
      <c r="L203" s="3">
        <f t="shared" si="136"/>
        <v>-1407.47</v>
      </c>
      <c r="M203" s="3"/>
      <c r="N203" s="22">
        <f t="shared" si="137"/>
        <v>-0.95461173773560581</v>
      </c>
      <c r="O203" s="12"/>
      <c r="P203" s="3">
        <f>--66.92</f>
        <v>66.92</v>
      </c>
      <c r="Q203" s="3"/>
      <c r="R203" s="22">
        <f t="shared" si="138"/>
        <v>2.1190323685044152E-4</v>
      </c>
      <c r="S203" s="3"/>
      <c r="T203" s="3">
        <f>--1474.39</f>
        <v>1474.39</v>
      </c>
      <c r="U203" s="3"/>
      <c r="V203" s="22">
        <f t="shared" si="139"/>
        <v>3.3844670456634361E-3</v>
      </c>
      <c r="W203" s="3"/>
      <c r="X203" s="3">
        <f t="shared" si="140"/>
        <v>-1407.47</v>
      </c>
      <c r="Y203" s="3"/>
      <c r="Z203" s="22">
        <f t="shared" si="141"/>
        <v>-0.95461173773560581</v>
      </c>
    </row>
    <row r="204" spans="1:26" s="24" customFormat="1" hidden="1" outlineLevel="1" x14ac:dyDescent="0.3">
      <c r="A204" s="50"/>
      <c r="B204" s="12" t="str">
        <f>CONCATENATE("          ", "9163", " - ", "MISC. INCOME")</f>
        <v xml:space="preserve">          9163 - MISC. INCOME</v>
      </c>
      <c r="C204" s="12"/>
      <c r="D204" s="3">
        <f>--6328.94</f>
        <v>6328.94</v>
      </c>
      <c r="E204" s="3"/>
      <c r="F204" s="22">
        <f t="shared" si="134"/>
        <v>2.0040688461330444E-2</v>
      </c>
      <c r="G204" s="3"/>
      <c r="H204" s="3">
        <f>--160663.9</f>
        <v>160663.9</v>
      </c>
      <c r="I204" s="3"/>
      <c r="J204" s="22">
        <f t="shared" si="135"/>
        <v>0.36880450557706285</v>
      </c>
      <c r="K204" s="3"/>
      <c r="L204" s="3">
        <f t="shared" si="136"/>
        <v>-154334.96</v>
      </c>
      <c r="M204" s="3"/>
      <c r="N204" s="22">
        <f t="shared" si="137"/>
        <v>-0.96060757892718895</v>
      </c>
      <c r="O204" s="12"/>
      <c r="P204" s="3">
        <f>--6328.94</f>
        <v>6328.94</v>
      </c>
      <c r="Q204" s="3"/>
      <c r="R204" s="22">
        <f t="shared" si="138"/>
        <v>2.0040688461330444E-2</v>
      </c>
      <c r="S204" s="3"/>
      <c r="T204" s="3">
        <f>--160663.9</f>
        <v>160663.9</v>
      </c>
      <c r="U204" s="3"/>
      <c r="V204" s="22">
        <f t="shared" si="139"/>
        <v>0.36880450557706285</v>
      </c>
      <c r="W204" s="3"/>
      <c r="X204" s="3">
        <f t="shared" si="140"/>
        <v>-154334.96</v>
      </c>
      <c r="Y204" s="3"/>
      <c r="Z204" s="22">
        <f t="shared" si="141"/>
        <v>-0.96060757892718895</v>
      </c>
    </row>
    <row r="205" spans="1:26" x14ac:dyDescent="0.3">
      <c r="A205" s="9"/>
      <c r="B205" s="10"/>
      <c r="C205" s="10"/>
      <c r="D205" s="2"/>
      <c r="E205" s="2"/>
      <c r="F205" s="6"/>
      <c r="G205" s="2"/>
      <c r="H205" s="2"/>
      <c r="I205" s="2"/>
      <c r="J205" s="6"/>
      <c r="K205" s="2"/>
      <c r="L205" s="2"/>
      <c r="M205" s="2"/>
      <c r="N205" s="6"/>
      <c r="O205" s="10"/>
      <c r="P205" s="2"/>
      <c r="Q205" s="2"/>
      <c r="R205" s="6"/>
      <c r="S205" s="2"/>
      <c r="T205" s="2"/>
      <c r="U205" s="2"/>
      <c r="V205" s="6"/>
      <c r="W205" s="2"/>
      <c r="X205" s="2"/>
      <c r="Y205" s="2"/>
      <c r="Z205" s="6"/>
    </row>
    <row r="206" spans="1:26" s="23" customFormat="1" x14ac:dyDescent="0.3">
      <c r="A206" s="10"/>
      <c r="B206" s="26" t="s">
        <v>276</v>
      </c>
      <c r="C206" s="26"/>
      <c r="D206" s="20">
        <f>+D114-D116+D199</f>
        <v>-234469.15999999989</v>
      </c>
      <c r="E206" s="13"/>
      <c r="F206" s="21">
        <f>IF(D$12=0,0,D206/D$12)</f>
        <v>-0.74245029805146512</v>
      </c>
      <c r="G206" s="13"/>
      <c r="H206" s="20">
        <f>+H114-H116+H199</f>
        <v>-22600.219999999972</v>
      </c>
      <c r="I206" s="13"/>
      <c r="J206" s="21">
        <f>IF(H$12=0,0,H206/H$12)</f>
        <v>-5.1878878597076489E-2</v>
      </c>
      <c r="K206" s="16"/>
      <c r="L206" s="20">
        <f>+D206-H206</f>
        <v>-211868.93999999992</v>
      </c>
      <c r="M206" s="16"/>
      <c r="N206" s="21">
        <f>IF(H206=0,0,L206/H206)</f>
        <v>9.3746406008437173</v>
      </c>
      <c r="O206" s="25"/>
      <c r="P206" s="20">
        <f>+P114-P116+P199</f>
        <v>-234469.15999999989</v>
      </c>
      <c r="Q206" s="13"/>
      <c r="R206" s="21">
        <f>IF(P$12=0,0,P206/P$12)</f>
        <v>-0.74245029805146512</v>
      </c>
      <c r="S206" s="13"/>
      <c r="T206" s="20">
        <f>+T114-T116+T199</f>
        <v>-22600.219999999972</v>
      </c>
      <c r="U206" s="13"/>
      <c r="V206" s="21">
        <f>IF(T$12=0,0,T206/T$12)</f>
        <v>-5.1878878597076489E-2</v>
      </c>
      <c r="W206" s="16"/>
      <c r="X206" s="20">
        <f>+P206-T206</f>
        <v>-211868.93999999992</v>
      </c>
      <c r="Y206" s="16"/>
      <c r="Z206" s="21">
        <f>IF(T206=0,0,X206/T206)</f>
        <v>9.3746406008437173</v>
      </c>
    </row>
    <row r="207" spans="1:26" x14ac:dyDescent="0.3">
      <c r="A207" s="9"/>
      <c r="B207" s="10"/>
      <c r="C207" s="9"/>
      <c r="D207" s="2"/>
      <c r="E207" s="2"/>
      <c r="F207" s="6"/>
      <c r="G207" s="2"/>
      <c r="H207" s="2"/>
      <c r="I207" s="2"/>
      <c r="J207" s="6"/>
      <c r="K207" s="2"/>
      <c r="L207" s="2"/>
      <c r="M207" s="2"/>
      <c r="N207" s="6"/>
      <c r="P207" s="2"/>
      <c r="Q207" s="2"/>
      <c r="R207" s="6"/>
      <c r="S207" s="2"/>
      <c r="T207" s="2"/>
      <c r="U207" s="2"/>
      <c r="V207" s="6"/>
      <c r="W207" s="2"/>
      <c r="X207" s="2"/>
      <c r="Y207" s="2"/>
      <c r="Z207" s="6"/>
    </row>
    <row r="208" spans="1:26" s="23" customFormat="1" x14ac:dyDescent="0.3">
      <c r="A208" s="51"/>
      <c r="B208" s="10" t="s">
        <v>127</v>
      </c>
      <c r="C208" s="10"/>
      <c r="D208" s="4">
        <v>145900.39000000001</v>
      </c>
      <c r="E208" s="4"/>
      <c r="F208" s="11">
        <f>IF(D$12=0,0,D208/D$12)</f>
        <v>0.46199588910253725</v>
      </c>
      <c r="G208" s="4"/>
      <c r="H208" s="4">
        <v>214852.73</v>
      </c>
      <c r="I208" s="4"/>
      <c r="J208" s="11">
        <f>IF(H$12=0,0,H208/H$12)</f>
        <v>0.49319514128271613</v>
      </c>
      <c r="K208" s="4"/>
      <c r="L208" s="4">
        <f>+D208-H208</f>
        <v>-68952.34</v>
      </c>
      <c r="M208" s="4"/>
      <c r="N208" s="11">
        <f>IF(H208=0,0,L208/H208)</f>
        <v>-0.32092838662091933</v>
      </c>
      <c r="O208" s="10"/>
      <c r="P208" s="4">
        <v>145900.39000000001</v>
      </c>
      <c r="Q208" s="4"/>
      <c r="R208" s="11">
        <f>IF(P$12=0,0,P208/P$12)</f>
        <v>0.46199588910253725</v>
      </c>
      <c r="S208" s="4"/>
      <c r="T208" s="4">
        <v>214852.73</v>
      </c>
      <c r="U208" s="4"/>
      <c r="V208" s="11">
        <f>IF(T$12=0,0,T208/T$12)</f>
        <v>0.49319514128271613</v>
      </c>
      <c r="W208" s="4"/>
      <c r="X208" s="4">
        <f>+P208-T208</f>
        <v>-68952.34</v>
      </c>
      <c r="Y208" s="4"/>
      <c r="Z208" s="11">
        <f>IF(T208=0,0,X208/T208)</f>
        <v>-0.32092838662091933</v>
      </c>
    </row>
    <row r="209" spans="1:26" x14ac:dyDescent="0.3">
      <c r="A209" s="9"/>
      <c r="B209" s="10"/>
      <c r="C209" s="10"/>
      <c r="D209" s="2"/>
      <c r="E209" s="2"/>
      <c r="F209" s="6"/>
      <c r="G209" s="2"/>
      <c r="H209" s="2"/>
      <c r="I209" s="2"/>
      <c r="J209" s="6"/>
      <c r="K209" s="2"/>
      <c r="L209" s="2"/>
      <c r="M209" s="2"/>
      <c r="N209" s="6"/>
      <c r="O209" s="10"/>
      <c r="P209" s="2"/>
      <c r="Q209" s="2"/>
      <c r="R209" s="6"/>
      <c r="S209" s="2"/>
      <c r="T209" s="2"/>
      <c r="U209" s="2"/>
      <c r="V209" s="6"/>
      <c r="W209" s="2"/>
      <c r="X209" s="2"/>
      <c r="Y209" s="2"/>
      <c r="Z209" s="6"/>
    </row>
    <row r="210" spans="1:26" s="23" customFormat="1" ht="15" thickBot="1" x14ac:dyDescent="0.35">
      <c r="A210" s="10"/>
      <c r="B210" s="26" t="s">
        <v>125</v>
      </c>
      <c r="C210" s="26"/>
      <c r="D210" s="36">
        <f>+D206-D208</f>
        <v>-380369.54999999993</v>
      </c>
      <c r="E210" s="13"/>
      <c r="F210" s="34">
        <f>IF(D$12=0,0,D210/D$12)</f>
        <v>-1.2044461871540024</v>
      </c>
      <c r="G210" s="13"/>
      <c r="H210" s="36">
        <f>+H206-H208</f>
        <v>-237452.94999999998</v>
      </c>
      <c r="I210" s="13"/>
      <c r="J210" s="34">
        <f>IF(H$12=0,0,H210/H$12)</f>
        <v>-0.54507401987979265</v>
      </c>
      <c r="K210" s="16"/>
      <c r="L210" s="36">
        <f>D210-H210</f>
        <v>-142916.59999999995</v>
      </c>
      <c r="M210" s="16"/>
      <c r="N210" s="34">
        <f>IF(H210=0,0,L210/H210)</f>
        <v>0.60187333953947486</v>
      </c>
      <c r="O210" s="25"/>
      <c r="P210" s="36">
        <f>+P206-P208</f>
        <v>-380369.54999999993</v>
      </c>
      <c r="Q210" s="13"/>
      <c r="R210" s="34">
        <f>IF(P$12=0,0,P210/P$12)</f>
        <v>-1.2044461871540024</v>
      </c>
      <c r="S210" s="13"/>
      <c r="T210" s="36">
        <f>+T206-T208</f>
        <v>-237452.94999999998</v>
      </c>
      <c r="U210" s="13"/>
      <c r="V210" s="34">
        <f>IF(T$12=0,0,T210/T$12)</f>
        <v>-0.54507401987979265</v>
      </c>
      <c r="W210" s="16"/>
      <c r="X210" s="36">
        <f>P210-T210</f>
        <v>-142916.59999999995</v>
      </c>
      <c r="Y210" s="16"/>
      <c r="Z210" s="34">
        <f>IF(T210=0,0,X210/T210)</f>
        <v>0.60187333953947486</v>
      </c>
    </row>
    <row r="211" spans="1:26" ht="15" thickTop="1" x14ac:dyDescent="0.3">
      <c r="A211" s="9"/>
      <c r="B211" s="9"/>
      <c r="C211" s="9"/>
      <c r="D211" s="2"/>
      <c r="E211" s="2"/>
      <c r="F211" s="6"/>
      <c r="G211" s="2"/>
      <c r="H211" s="2"/>
      <c r="I211" s="2"/>
      <c r="J211" s="6"/>
      <c r="K211" s="2"/>
      <c r="L211" s="2"/>
      <c r="M211" s="2"/>
      <c r="N211" s="6"/>
      <c r="P211" s="2"/>
      <c r="Q211" s="2"/>
      <c r="R211" s="6"/>
      <c r="S211" s="2"/>
      <c r="T211" s="2"/>
      <c r="U211" s="2"/>
      <c r="V211" s="6"/>
      <c r="W211" s="2"/>
      <c r="X211" s="2"/>
      <c r="Y211" s="2"/>
      <c r="Z211" s="6"/>
    </row>
    <row r="212" spans="1:26" x14ac:dyDescent="0.3">
      <c r="A212" s="9"/>
      <c r="B212" s="9"/>
      <c r="C212" s="9"/>
      <c r="D212" s="2"/>
      <c r="E212" s="2"/>
      <c r="F212" s="6"/>
      <c r="G212" s="2"/>
      <c r="H212" s="2"/>
      <c r="I212" s="2"/>
      <c r="J212" s="6"/>
      <c r="K212" s="2"/>
      <c r="L212" s="2"/>
      <c r="M212" s="2"/>
      <c r="N212" s="6"/>
      <c r="P212" s="2"/>
      <c r="Q212" s="2"/>
      <c r="R212" s="6"/>
      <c r="S212" s="2"/>
      <c r="T212" s="2"/>
      <c r="U212" s="2"/>
      <c r="V212" s="6"/>
      <c r="W212" s="2"/>
      <c r="X212" s="2"/>
      <c r="Y212" s="2"/>
      <c r="Z212" s="6"/>
    </row>
    <row r="213" spans="1:26" s="23" customFormat="1" ht="15" thickBot="1" x14ac:dyDescent="0.35">
      <c r="A213" s="10"/>
      <c r="B213" s="26" t="s">
        <v>293</v>
      </c>
      <c r="C213" s="26"/>
      <c r="D213" s="31">
        <f>SUM(D210:D212)</f>
        <v>-380369.54999999993</v>
      </c>
      <c r="E213" s="13"/>
      <c r="F213" s="33">
        <f>IF(D$12=0,0,D213/D$12)</f>
        <v>-1.2044461871540024</v>
      </c>
      <c r="G213" s="13"/>
      <c r="H213" s="31">
        <f>SUM(H210:H212)</f>
        <v>-237452.94999999998</v>
      </c>
      <c r="I213" s="13"/>
      <c r="J213" s="33">
        <f>IF(H$12=0,0,H213/H$12)</f>
        <v>-0.54507401987979265</v>
      </c>
      <c r="K213" s="16"/>
      <c r="L213" s="31">
        <f>+D213-H213</f>
        <v>-142916.59999999995</v>
      </c>
      <c r="M213" s="16"/>
      <c r="N213" s="33">
        <f>IF(H213=0,0,L213/H213)</f>
        <v>0.60187333953947486</v>
      </c>
      <c r="O213" s="25"/>
      <c r="P213" s="31">
        <f>SUM(P210:P212)</f>
        <v>-380369.54999999993</v>
      </c>
      <c r="Q213" s="13"/>
      <c r="R213" s="33">
        <f>IF(P$12=0,0,P213/P$12)</f>
        <v>-1.2044461871540024</v>
      </c>
      <c r="S213" s="13"/>
      <c r="T213" s="31">
        <f>SUM(T210:T212)</f>
        <v>-237452.94999999998</v>
      </c>
      <c r="U213" s="13"/>
      <c r="V213" s="33">
        <f>IF(T$12=0,0,T213/T$12)</f>
        <v>-0.54507401987979265</v>
      </c>
      <c r="W213" s="16"/>
      <c r="X213" s="31">
        <f>+P213-T213</f>
        <v>-142916.59999999995</v>
      </c>
      <c r="Y213" s="16"/>
      <c r="Z213" s="33">
        <f>IF(T213=0,0,X213/T213)</f>
        <v>0.60187333953947486</v>
      </c>
    </row>
    <row r="214" spans="1:26" ht="15" thickTop="1" x14ac:dyDescent="0.3">
      <c r="A214" s="9"/>
      <c r="C214" s="9"/>
      <c r="D214" s="18"/>
      <c r="E214" s="18"/>
      <c r="G214" s="18"/>
      <c r="H214" s="18"/>
      <c r="I214" s="18"/>
      <c r="J214" s="43"/>
      <c r="K214" s="18"/>
      <c r="L214" s="18"/>
      <c r="M214" s="18"/>
      <c r="P214" s="18"/>
      <c r="Q214" s="18"/>
      <c r="R214" s="43"/>
      <c r="S214" s="18"/>
      <c r="T214" s="18"/>
      <c r="U214" s="18"/>
      <c r="V214" s="43"/>
      <c r="W214" s="18"/>
      <c r="X214" s="18"/>
    </row>
    <row r="215" spans="1:26" x14ac:dyDescent="0.3">
      <c r="A215" s="9"/>
      <c r="B215" s="59">
        <v>44462.666917743052</v>
      </c>
      <c r="D215" s="18"/>
      <c r="E215" s="18"/>
      <c r="G215" s="18"/>
      <c r="H215" s="18"/>
      <c r="I215" s="18"/>
      <c r="J215" s="43"/>
      <c r="K215" s="18"/>
      <c r="L215" s="18"/>
      <c r="M215" s="18"/>
      <c r="P215" s="18"/>
      <c r="Q215" s="18"/>
      <c r="R215" s="43"/>
      <c r="S215" s="18"/>
      <c r="T215" s="18"/>
      <c r="U215" s="18"/>
      <c r="V215" s="43"/>
      <c r="W215" s="18"/>
      <c r="X215" s="18"/>
    </row>
    <row r="216" spans="1:26" x14ac:dyDescent="0.3">
      <c r="A216" s="9"/>
      <c r="B216" s="57" t="s">
        <v>56</v>
      </c>
      <c r="D216" s="18"/>
      <c r="E216" s="18"/>
      <c r="G216" s="18"/>
      <c r="H216" s="18"/>
      <c r="I216" s="18"/>
      <c r="J216" s="43"/>
      <c r="K216" s="18"/>
      <c r="L216" s="18"/>
      <c r="M216" s="18"/>
      <c r="P216" s="18"/>
      <c r="Q216" s="18"/>
      <c r="R216" s="43"/>
      <c r="S216" s="18"/>
      <c r="T216" s="18"/>
      <c r="U216" s="18"/>
      <c r="V216" s="43"/>
      <c r="W216" s="18"/>
      <c r="X216" s="18"/>
    </row>
    <row r="217" spans="1:26" x14ac:dyDescent="0.3">
      <c r="A217" s="9"/>
      <c r="B217" s="61"/>
      <c r="D217" s="18"/>
      <c r="E217" s="18"/>
      <c r="G217" s="18"/>
      <c r="H217" s="18"/>
      <c r="I217" s="18"/>
      <c r="J217" s="43"/>
      <c r="K217" s="18"/>
      <c r="L217" s="18"/>
      <c r="M217" s="18"/>
      <c r="P217" s="18"/>
      <c r="Q217" s="18"/>
      <c r="R217" s="43"/>
      <c r="S217" s="18"/>
      <c r="T217" s="18"/>
      <c r="U217" s="18"/>
      <c r="V217" s="43"/>
      <c r="W217" s="18"/>
      <c r="X217" s="18"/>
    </row>
    <row r="218" spans="1:26" x14ac:dyDescent="0.3">
      <c r="D218" s="18"/>
      <c r="E218" s="18"/>
      <c r="G218" s="18"/>
      <c r="H218" s="18"/>
      <c r="I218" s="18"/>
      <c r="J218" s="43"/>
      <c r="K218" s="18"/>
      <c r="L218" s="18"/>
      <c r="M218" s="18"/>
      <c r="P218" s="18"/>
      <c r="Q218" s="18"/>
      <c r="R218" s="43"/>
      <c r="S218" s="18"/>
      <c r="T218" s="18"/>
      <c r="U218" s="18"/>
      <c r="V218" s="43"/>
      <c r="W218" s="18"/>
      <c r="X218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","301", " - ", "Bookstore Operations")</f>
        <v>Department 301 - Bookstore Operations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179674.92000000004</v>
      </c>
      <c r="E18" s="19"/>
      <c r="F18" s="35">
        <f t="shared" ref="F18:F29" si="0">IF(D$12=0,0,D18/D$12)</f>
        <v>0</v>
      </c>
      <c r="G18" s="19"/>
      <c r="H18" s="19">
        <f>SUM(OSRRefH22x_0)</f>
        <v>165416.69999999998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14258.220000000059</v>
      </c>
      <c r="M18" s="4"/>
      <c r="N18" s="35">
        <f t="shared" ref="N18:N29" si="3">IF(H18=0,0,L18/H18)</f>
        <v>8.6195771043673708E-2</v>
      </c>
      <c r="O18" s="10"/>
      <c r="P18" s="19">
        <f>SUM(OSRRefP22x_0)</f>
        <v>179674.92000000004</v>
      </c>
      <c r="Q18" s="19"/>
      <c r="R18" s="35">
        <f t="shared" ref="R18:R29" si="4">IF(P$12=0,0,P18/P$12)</f>
        <v>0</v>
      </c>
      <c r="S18" s="19"/>
      <c r="T18" s="19">
        <f>SUM(OSRRefT22x_0)</f>
        <v>165416.69999999998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14258.220000000059</v>
      </c>
      <c r="Y18" s="4"/>
      <c r="Z18" s="35">
        <f t="shared" ref="Z18:Z29" si="7">IF(T18=0,0,X18/T18)</f>
        <v>8.6195771043673708E-2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13023.77</v>
      </c>
      <c r="E19" s="1"/>
      <c r="F19" s="5">
        <f t="shared" si="0"/>
        <v>0</v>
      </c>
      <c r="G19" s="1"/>
      <c r="H19" s="1">
        <f>SUM(OSRRefH22_0x_0)</f>
        <v>8516.33</v>
      </c>
      <c r="I19" s="1"/>
      <c r="J19" s="5">
        <f t="shared" si="1"/>
        <v>0</v>
      </c>
      <c r="K19" s="1"/>
      <c r="L19" s="1">
        <f t="shared" si="2"/>
        <v>4507.4400000000005</v>
      </c>
      <c r="M19" s="1"/>
      <c r="N19" s="5">
        <f t="shared" si="3"/>
        <v>0.52927023729705169</v>
      </c>
      <c r="O19" s="14"/>
      <c r="P19" s="1">
        <f>SUM(OSRRefP22_0x_0)</f>
        <v>13023.77</v>
      </c>
      <c r="Q19" s="1"/>
      <c r="R19" s="5">
        <f t="shared" si="4"/>
        <v>0</v>
      </c>
      <c r="S19" s="1"/>
      <c r="T19" s="1">
        <f>SUM(OSRRefT22_0x_0)</f>
        <v>8516.33</v>
      </c>
      <c r="U19" s="1"/>
      <c r="V19" s="5">
        <f t="shared" si="5"/>
        <v>0</v>
      </c>
      <c r="W19" s="1"/>
      <c r="X19" s="1">
        <f t="shared" si="6"/>
        <v>4507.4400000000005</v>
      </c>
      <c r="Y19" s="1"/>
      <c r="Z19" s="5">
        <f t="shared" si="7"/>
        <v>0.52927023729705169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3019.49</v>
      </c>
      <c r="E20" s="3"/>
      <c r="F20" s="7">
        <f t="shared" si="0"/>
        <v>0</v>
      </c>
      <c r="G20" s="3"/>
      <c r="H20" s="8">
        <v>2247.02</v>
      </c>
      <c r="I20" s="3"/>
      <c r="J20" s="7">
        <f t="shared" si="1"/>
        <v>0</v>
      </c>
      <c r="K20" s="3"/>
      <c r="L20" s="8">
        <f t="shared" si="2"/>
        <v>772.4699999999998</v>
      </c>
      <c r="M20" s="3"/>
      <c r="N20" s="7">
        <f t="shared" si="3"/>
        <v>0.34377531130118993</v>
      </c>
      <c r="O20" s="12"/>
      <c r="P20" s="8">
        <v>3019.49</v>
      </c>
      <c r="Q20" s="3"/>
      <c r="R20" s="7">
        <f t="shared" si="4"/>
        <v>0</v>
      </c>
      <c r="S20" s="3"/>
      <c r="T20" s="8">
        <v>2247.02</v>
      </c>
      <c r="U20" s="3"/>
      <c r="V20" s="7">
        <f t="shared" si="5"/>
        <v>0</v>
      </c>
      <c r="W20" s="3"/>
      <c r="X20" s="8">
        <f t="shared" si="6"/>
        <v>772.4699999999998</v>
      </c>
      <c r="Y20" s="3"/>
      <c r="Z20" s="7">
        <f t="shared" si="7"/>
        <v>0.34377531130118993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605.14</v>
      </c>
      <c r="E21" s="3"/>
      <c r="F21" s="7">
        <f t="shared" si="0"/>
        <v>0</v>
      </c>
      <c r="G21" s="3"/>
      <c r="H21" s="8">
        <v>747.02</v>
      </c>
      <c r="I21" s="3"/>
      <c r="J21" s="7">
        <f t="shared" si="1"/>
        <v>0</v>
      </c>
      <c r="K21" s="3"/>
      <c r="L21" s="8">
        <f t="shared" si="2"/>
        <v>-141.88</v>
      </c>
      <c r="M21" s="3"/>
      <c r="N21" s="7">
        <f t="shared" si="3"/>
        <v>-0.1899279805092233</v>
      </c>
      <c r="O21" s="12"/>
      <c r="P21" s="8">
        <v>605.14</v>
      </c>
      <c r="Q21" s="3"/>
      <c r="R21" s="7">
        <f t="shared" si="4"/>
        <v>0</v>
      </c>
      <c r="S21" s="3"/>
      <c r="T21" s="8">
        <v>747.02</v>
      </c>
      <c r="U21" s="3"/>
      <c r="V21" s="7">
        <f t="shared" si="5"/>
        <v>0</v>
      </c>
      <c r="W21" s="3"/>
      <c r="X21" s="8">
        <f t="shared" si="6"/>
        <v>-141.88</v>
      </c>
      <c r="Y21" s="3"/>
      <c r="Z21" s="7">
        <f t="shared" si="7"/>
        <v>-0.1899279805092233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5081.28</v>
      </c>
      <c r="E22" s="3"/>
      <c r="F22" s="7">
        <f t="shared" si="0"/>
        <v>0</v>
      </c>
      <c r="G22" s="3"/>
      <c r="H22" s="8">
        <v>1657.39</v>
      </c>
      <c r="I22" s="3"/>
      <c r="J22" s="7">
        <f t="shared" si="1"/>
        <v>0</v>
      </c>
      <c r="K22" s="3"/>
      <c r="L22" s="8">
        <f t="shared" si="2"/>
        <v>3423.8899999999994</v>
      </c>
      <c r="M22" s="3"/>
      <c r="N22" s="7">
        <f t="shared" si="3"/>
        <v>2.0658324232679086</v>
      </c>
      <c r="O22" s="12"/>
      <c r="P22" s="8">
        <v>5081.28</v>
      </c>
      <c r="Q22" s="3"/>
      <c r="R22" s="7">
        <f t="shared" si="4"/>
        <v>0</v>
      </c>
      <c r="S22" s="3"/>
      <c r="T22" s="8">
        <v>1657.39</v>
      </c>
      <c r="U22" s="3"/>
      <c r="V22" s="7">
        <f t="shared" si="5"/>
        <v>0</v>
      </c>
      <c r="W22" s="3"/>
      <c r="X22" s="8">
        <f t="shared" si="6"/>
        <v>3423.8899999999994</v>
      </c>
      <c r="Y22" s="3"/>
      <c r="Z22" s="7">
        <f t="shared" si="7"/>
        <v>2.0658324232679086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109.65</v>
      </c>
      <c r="E23" s="3"/>
      <c r="F23" s="7">
        <f t="shared" si="0"/>
        <v>0</v>
      </c>
      <c r="G23" s="3"/>
      <c r="H23" s="8">
        <v>105</v>
      </c>
      <c r="I23" s="3"/>
      <c r="J23" s="7">
        <f t="shared" si="1"/>
        <v>0</v>
      </c>
      <c r="K23" s="3"/>
      <c r="L23" s="8">
        <f t="shared" si="2"/>
        <v>4.6500000000000057</v>
      </c>
      <c r="M23" s="3"/>
      <c r="N23" s="7">
        <f t="shared" si="3"/>
        <v>4.4285714285714338E-2</v>
      </c>
      <c r="O23" s="12"/>
      <c r="P23" s="8">
        <v>109.65</v>
      </c>
      <c r="Q23" s="3"/>
      <c r="R23" s="7">
        <f t="shared" si="4"/>
        <v>0</v>
      </c>
      <c r="S23" s="3"/>
      <c r="T23" s="8">
        <v>105</v>
      </c>
      <c r="U23" s="3"/>
      <c r="V23" s="7">
        <f t="shared" si="5"/>
        <v>0</v>
      </c>
      <c r="W23" s="3"/>
      <c r="X23" s="8">
        <f t="shared" si="6"/>
        <v>4.6500000000000057</v>
      </c>
      <c r="Y23" s="3"/>
      <c r="Z23" s="7">
        <f t="shared" si="7"/>
        <v>4.4285714285714338E-2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1518.86</v>
      </c>
      <c r="E24" s="3"/>
      <c r="F24" s="7">
        <f t="shared" si="0"/>
        <v>0</v>
      </c>
      <c r="G24" s="3"/>
      <c r="H24" s="8">
        <v>1359.34</v>
      </c>
      <c r="I24" s="3"/>
      <c r="J24" s="7">
        <f t="shared" si="1"/>
        <v>0</v>
      </c>
      <c r="K24" s="3"/>
      <c r="L24" s="8">
        <f t="shared" si="2"/>
        <v>159.51999999999998</v>
      </c>
      <c r="M24" s="3"/>
      <c r="N24" s="7">
        <f t="shared" si="3"/>
        <v>0.11735106742978209</v>
      </c>
      <c r="O24" s="12"/>
      <c r="P24" s="8">
        <v>1518.86</v>
      </c>
      <c r="Q24" s="3"/>
      <c r="R24" s="7">
        <f t="shared" si="4"/>
        <v>0</v>
      </c>
      <c r="S24" s="3"/>
      <c r="T24" s="8">
        <v>1359.34</v>
      </c>
      <c r="U24" s="3"/>
      <c r="V24" s="7">
        <f t="shared" si="5"/>
        <v>0</v>
      </c>
      <c r="W24" s="3"/>
      <c r="X24" s="8">
        <f t="shared" si="6"/>
        <v>159.51999999999998</v>
      </c>
      <c r="Y24" s="3"/>
      <c r="Z24" s="7">
        <f t="shared" si="7"/>
        <v>0.11735106742978209</v>
      </c>
    </row>
    <row r="25" spans="1:26" s="24" customFormat="1" hidden="1" outlineLevel="2" x14ac:dyDescent="0.3">
      <c r="A25" s="27"/>
      <c r="B25" s="12" t="str">
        <f>CONCATENATE("          ", "6116", " - ", 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401.9</v>
      </c>
      <c r="I25" s="3"/>
      <c r="J25" s="7">
        <f t="shared" si="1"/>
        <v>0</v>
      </c>
      <c r="K25" s="3"/>
      <c r="L25" s="8">
        <f t="shared" si="2"/>
        <v>-401.9</v>
      </c>
      <c r="M25" s="3"/>
      <c r="N25" s="7">
        <f t="shared" si="3"/>
        <v>-1</v>
      </c>
      <c r="O25" s="12"/>
      <c r="P25" s="8"/>
      <c r="Q25" s="3"/>
      <c r="R25" s="7">
        <f t="shared" si="4"/>
        <v>0</v>
      </c>
      <c r="S25" s="3"/>
      <c r="T25" s="8">
        <v>401.9</v>
      </c>
      <c r="U25" s="3"/>
      <c r="V25" s="7">
        <f t="shared" si="5"/>
        <v>0</v>
      </c>
      <c r="W25" s="3"/>
      <c r="X25" s="8">
        <f t="shared" si="6"/>
        <v>-401.9</v>
      </c>
      <c r="Y25" s="3"/>
      <c r="Z25" s="7">
        <f t="shared" si="7"/>
        <v>-1</v>
      </c>
    </row>
    <row r="26" spans="1:26" s="24" customFormat="1" hidden="1" outlineLevel="2" x14ac:dyDescent="0.3">
      <c r="A26" s="27"/>
      <c r="B26" s="12" t="str">
        <f>CONCATENATE("          ", "6117", " - ", "RETIREMENT STAFF HOURLY")</f>
        <v xml:space="preserve">          6117 - RETIREMENT STAFF HOURLY</v>
      </c>
      <c r="C26" s="12"/>
      <c r="D26" s="8">
        <v>299.24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299.24</v>
      </c>
      <c r="M26" s="3"/>
      <c r="N26" s="7">
        <f t="shared" si="3"/>
        <v>0</v>
      </c>
      <c r="O26" s="12"/>
      <c r="P26" s="8">
        <v>299.24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299.24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"6118", " - ", "VACATION")</f>
        <v xml:space="preserve">          6118 - VACATION</v>
      </c>
      <c r="C27" s="12"/>
      <c r="D27" s="8">
        <v>1168.29</v>
      </c>
      <c r="E27" s="3"/>
      <c r="F27" s="7">
        <f t="shared" si="0"/>
        <v>0</v>
      </c>
      <c r="G27" s="3"/>
      <c r="H27" s="8">
        <v>1161.98</v>
      </c>
      <c r="I27" s="3"/>
      <c r="J27" s="7">
        <f t="shared" si="1"/>
        <v>0</v>
      </c>
      <c r="K27" s="3"/>
      <c r="L27" s="8">
        <f t="shared" si="2"/>
        <v>6.3099999999999454</v>
      </c>
      <c r="M27" s="3"/>
      <c r="N27" s="7">
        <f t="shared" si="3"/>
        <v>5.4303860651645861E-3</v>
      </c>
      <c r="O27" s="12"/>
      <c r="P27" s="8">
        <v>1168.29</v>
      </c>
      <c r="Q27" s="3"/>
      <c r="R27" s="7">
        <f t="shared" si="4"/>
        <v>0</v>
      </c>
      <c r="S27" s="3"/>
      <c r="T27" s="8">
        <v>1161.98</v>
      </c>
      <c r="U27" s="3"/>
      <c r="V27" s="7">
        <f t="shared" si="5"/>
        <v>0</v>
      </c>
      <c r="W27" s="3"/>
      <c r="X27" s="8">
        <f t="shared" si="6"/>
        <v>6.3099999999999454</v>
      </c>
      <c r="Y27" s="3"/>
      <c r="Z27" s="7">
        <f t="shared" si="7"/>
        <v>5.4303860651645861E-3</v>
      </c>
    </row>
    <row r="28" spans="1:26" s="24" customFormat="1" hidden="1" outlineLevel="2" x14ac:dyDescent="0.3">
      <c r="A28" s="27"/>
      <c r="B28" s="12" t="str">
        <f>CONCATENATE("          ", "6119", " - ", "SICK LEAVE")</f>
        <v xml:space="preserve">          6119 - SICK LEAVE</v>
      </c>
      <c r="C28" s="12"/>
      <c r="D28" s="8">
        <v>955.23</v>
      </c>
      <c r="E28" s="3"/>
      <c r="F28" s="7">
        <f t="shared" si="0"/>
        <v>0</v>
      </c>
      <c r="G28" s="3"/>
      <c r="H28" s="8">
        <v>758.33</v>
      </c>
      <c r="I28" s="3"/>
      <c r="J28" s="7">
        <f t="shared" si="1"/>
        <v>0</v>
      </c>
      <c r="K28" s="3"/>
      <c r="L28" s="8">
        <f t="shared" si="2"/>
        <v>196.89999999999998</v>
      </c>
      <c r="M28" s="3"/>
      <c r="N28" s="7">
        <f t="shared" si="3"/>
        <v>0.25964949296480422</v>
      </c>
      <c r="O28" s="12"/>
      <c r="P28" s="8">
        <v>955.23</v>
      </c>
      <c r="Q28" s="3"/>
      <c r="R28" s="7">
        <f t="shared" si="4"/>
        <v>0</v>
      </c>
      <c r="S28" s="3"/>
      <c r="T28" s="8">
        <v>758.33</v>
      </c>
      <c r="U28" s="3"/>
      <c r="V28" s="7">
        <f t="shared" si="5"/>
        <v>0</v>
      </c>
      <c r="W28" s="3"/>
      <c r="X28" s="8">
        <f t="shared" si="6"/>
        <v>196.89999999999998</v>
      </c>
      <c r="Y28" s="3"/>
      <c r="Z28" s="7">
        <f t="shared" si="7"/>
        <v>0.25964949296480422</v>
      </c>
    </row>
    <row r="29" spans="1:26" s="24" customFormat="1" hidden="1" outlineLevel="2" x14ac:dyDescent="0.3">
      <c r="A29" s="27"/>
      <c r="B29" s="12" t="str">
        <f>CONCATENATE("          ", "6156", " - ", "EMPLOYEE MEALS")</f>
        <v xml:space="preserve">          6156 - EMPLOYEE MEALS</v>
      </c>
      <c r="C29" s="12"/>
      <c r="D29" s="8">
        <v>266.58999999999997</v>
      </c>
      <c r="E29" s="3"/>
      <c r="F29" s="7">
        <f t="shared" si="0"/>
        <v>0</v>
      </c>
      <c r="G29" s="3"/>
      <c r="H29" s="8">
        <v>78.349999999999994</v>
      </c>
      <c r="I29" s="3"/>
      <c r="J29" s="7">
        <f t="shared" si="1"/>
        <v>0</v>
      </c>
      <c r="K29" s="3"/>
      <c r="L29" s="8">
        <f t="shared" si="2"/>
        <v>188.23999999999998</v>
      </c>
      <c r="M29" s="3"/>
      <c r="N29" s="7">
        <f t="shared" si="3"/>
        <v>2.4025526483726867</v>
      </c>
      <c r="O29" s="12"/>
      <c r="P29" s="8">
        <v>266.58999999999997</v>
      </c>
      <c r="Q29" s="3"/>
      <c r="R29" s="7">
        <f t="shared" si="4"/>
        <v>0</v>
      </c>
      <c r="S29" s="3"/>
      <c r="T29" s="8">
        <v>78.349999999999994</v>
      </c>
      <c r="U29" s="3"/>
      <c r="V29" s="7">
        <f t="shared" si="5"/>
        <v>0</v>
      </c>
      <c r="W29" s="3"/>
      <c r="X29" s="8">
        <f t="shared" si="6"/>
        <v>188.23999999999998</v>
      </c>
      <c r="Y29" s="3"/>
      <c r="Z29" s="7">
        <f t="shared" si="7"/>
        <v>2.4025526483726867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55192.97</v>
      </c>
      <c r="E30" s="1"/>
      <c r="F30" s="5">
        <f t="shared" ref="F30:F37" si="8">IF(D$12=0,0,D30/D$12)</f>
        <v>0</v>
      </c>
      <c r="G30" s="1"/>
      <c r="H30" s="1">
        <f>SUM(OSRRefH22_1x_0)</f>
        <v>43822.61</v>
      </c>
      <c r="I30" s="1"/>
      <c r="J30" s="5">
        <f t="shared" ref="J30:J37" si="9">IF(H$12=0,0,H30/H$12)</f>
        <v>0</v>
      </c>
      <c r="K30" s="1"/>
      <c r="L30" s="1">
        <f t="shared" ref="L30:L37" si="10">+D30-H30</f>
        <v>11370.36</v>
      </c>
      <c r="M30" s="1"/>
      <c r="N30" s="5">
        <f t="shared" ref="N30:N37" si="11">IF(H30=0,0,L30/H30)</f>
        <v>0.25946332270031386</v>
      </c>
      <c r="O30" s="14"/>
      <c r="P30" s="1">
        <f>SUM(OSRRefP22_1x_0)</f>
        <v>55192.97</v>
      </c>
      <c r="Q30" s="1"/>
      <c r="R30" s="5">
        <f t="shared" ref="R30:R37" si="12">IF(P$12=0,0,P30/P$12)</f>
        <v>0</v>
      </c>
      <c r="S30" s="1"/>
      <c r="T30" s="1">
        <f>SUM(OSRRefT22_1x_0)</f>
        <v>43822.61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11370.36</v>
      </c>
      <c r="Y30" s="1"/>
      <c r="Z30" s="5">
        <f t="shared" ref="Z30:Z37" si="15">IF(T30=0,0,X30/T30)</f>
        <v>0.25946332270031386</v>
      </c>
    </row>
    <row r="31" spans="1:26" s="24" customFormat="1" hidden="1" outlineLevel="2" x14ac:dyDescent="0.3">
      <c r="A31" s="27"/>
      <c r="B31" s="12" t="str">
        <f>CONCATENATE("          ", "6001", " - ", "ADMINISTRATIVE SALARIES")</f>
        <v xml:space="preserve">          6001 - ADMINISTRATIVE SALARIES</v>
      </c>
      <c r="C31" s="12"/>
      <c r="D31" s="8">
        <v>5599.1</v>
      </c>
      <c r="E31" s="3"/>
      <c r="F31" s="7">
        <f t="shared" si="8"/>
        <v>0</v>
      </c>
      <c r="G31" s="3"/>
      <c r="H31" s="8">
        <v>4837.17</v>
      </c>
      <c r="I31" s="3"/>
      <c r="J31" s="7">
        <f t="shared" si="9"/>
        <v>0</v>
      </c>
      <c r="K31" s="3"/>
      <c r="L31" s="8">
        <f t="shared" si="10"/>
        <v>761.93000000000029</v>
      </c>
      <c r="M31" s="3"/>
      <c r="N31" s="7">
        <f t="shared" si="11"/>
        <v>0.15751565481469543</v>
      </c>
      <c r="O31" s="12"/>
      <c r="P31" s="8">
        <v>5599.1</v>
      </c>
      <c r="Q31" s="3"/>
      <c r="R31" s="7">
        <f t="shared" si="12"/>
        <v>0</v>
      </c>
      <c r="S31" s="3"/>
      <c r="T31" s="8">
        <v>4837.17</v>
      </c>
      <c r="U31" s="3"/>
      <c r="V31" s="7">
        <f t="shared" si="13"/>
        <v>0</v>
      </c>
      <c r="W31" s="3"/>
      <c r="X31" s="8">
        <f t="shared" si="14"/>
        <v>761.93000000000029</v>
      </c>
      <c r="Y31" s="3"/>
      <c r="Z31" s="7">
        <f t="shared" si="15"/>
        <v>0.15751565481469543</v>
      </c>
    </row>
    <row r="32" spans="1:26" s="24" customFormat="1" hidden="1" outlineLevel="2" x14ac:dyDescent="0.3">
      <c r="A32" s="27"/>
      <c r="B32" s="12" t="str">
        <f>CONCATENATE("          ", "6002", " - ", "STAFF SALARIES")</f>
        <v xml:space="preserve">          6002 - STAFF SALARIES</v>
      </c>
      <c r="C32" s="12"/>
      <c r="D32" s="8">
        <v>13415.64</v>
      </c>
      <c r="E32" s="3"/>
      <c r="F32" s="7">
        <f t="shared" si="8"/>
        <v>0</v>
      </c>
      <c r="G32" s="3"/>
      <c r="H32" s="8">
        <v>8856.2999999999993</v>
      </c>
      <c r="I32" s="3"/>
      <c r="J32" s="7">
        <f t="shared" si="9"/>
        <v>0</v>
      </c>
      <c r="K32" s="3"/>
      <c r="L32" s="8">
        <f t="shared" si="10"/>
        <v>4559.34</v>
      </c>
      <c r="M32" s="3"/>
      <c r="N32" s="7">
        <f t="shared" si="11"/>
        <v>0.514813183835236</v>
      </c>
      <c r="O32" s="12"/>
      <c r="P32" s="8">
        <v>13415.64</v>
      </c>
      <c r="Q32" s="3"/>
      <c r="R32" s="7">
        <f t="shared" si="12"/>
        <v>0</v>
      </c>
      <c r="S32" s="3"/>
      <c r="T32" s="8">
        <v>8856.2999999999993</v>
      </c>
      <c r="U32" s="3"/>
      <c r="V32" s="7">
        <f t="shared" si="13"/>
        <v>0</v>
      </c>
      <c r="W32" s="3"/>
      <c r="X32" s="8">
        <f t="shared" si="14"/>
        <v>4559.34</v>
      </c>
      <c r="Y32" s="3"/>
      <c r="Z32" s="7">
        <f t="shared" si="15"/>
        <v>0.514813183835236</v>
      </c>
    </row>
    <row r="33" spans="1:26" s="24" customFormat="1" hidden="1" outlineLevel="2" x14ac:dyDescent="0.3">
      <c r="A33" s="27"/>
      <c r="B33" s="12" t="str">
        <f>CONCATENATE("          ", "6004", " - ", "STAFF HOURLY")</f>
        <v xml:space="preserve">          6004 - STAFF HOURLY</v>
      </c>
      <c r="C33" s="12"/>
      <c r="D33" s="8">
        <v>3554.5</v>
      </c>
      <c r="E33" s="3"/>
      <c r="F33" s="7">
        <f t="shared" si="8"/>
        <v>0</v>
      </c>
      <c r="G33" s="3"/>
      <c r="H33" s="8">
        <v>3465.6</v>
      </c>
      <c r="I33" s="3"/>
      <c r="J33" s="7">
        <f t="shared" si="9"/>
        <v>0</v>
      </c>
      <c r="K33" s="3"/>
      <c r="L33" s="8">
        <f t="shared" si="10"/>
        <v>88.900000000000091</v>
      </c>
      <c r="M33" s="3"/>
      <c r="N33" s="7">
        <f t="shared" si="11"/>
        <v>2.5652123730378604E-2</v>
      </c>
      <c r="O33" s="12"/>
      <c r="P33" s="8">
        <v>3554.5</v>
      </c>
      <c r="Q33" s="3"/>
      <c r="R33" s="7">
        <f t="shared" si="12"/>
        <v>0</v>
      </c>
      <c r="S33" s="3"/>
      <c r="T33" s="8">
        <v>3465.6</v>
      </c>
      <c r="U33" s="3"/>
      <c r="V33" s="7">
        <f t="shared" si="13"/>
        <v>0</v>
      </c>
      <c r="W33" s="3"/>
      <c r="X33" s="8">
        <f t="shared" si="14"/>
        <v>88.900000000000091</v>
      </c>
      <c r="Y33" s="3"/>
      <c r="Z33" s="7">
        <f t="shared" si="15"/>
        <v>2.5652123730378604E-2</v>
      </c>
    </row>
    <row r="34" spans="1:26" s="24" customFormat="1" hidden="1" outlineLevel="2" x14ac:dyDescent="0.3">
      <c r="A34" s="27"/>
      <c r="B34" s="12" t="str">
        <f>CONCATENATE("          ", "6005", " - ", "TEMPORARY WAGES-HOURLY")</f>
        <v xml:space="preserve">          6005 - TEMPORARY WAGES-HOURLY</v>
      </c>
      <c r="C34" s="12"/>
      <c r="D34" s="8">
        <v>2204.2399999999998</v>
      </c>
      <c r="E34" s="3"/>
      <c r="F34" s="7">
        <f t="shared" si="8"/>
        <v>0</v>
      </c>
      <c r="G34" s="3"/>
      <c r="H34" s="8">
        <v>8462.1</v>
      </c>
      <c r="I34" s="3"/>
      <c r="J34" s="7">
        <f t="shared" si="9"/>
        <v>0</v>
      </c>
      <c r="K34" s="3"/>
      <c r="L34" s="8">
        <f t="shared" si="10"/>
        <v>-6257.8600000000006</v>
      </c>
      <c r="M34" s="3"/>
      <c r="N34" s="7">
        <f t="shared" si="11"/>
        <v>-0.73951619574337346</v>
      </c>
      <c r="O34" s="12"/>
      <c r="P34" s="8">
        <v>2204.2399999999998</v>
      </c>
      <c r="Q34" s="3"/>
      <c r="R34" s="7">
        <f t="shared" si="12"/>
        <v>0</v>
      </c>
      <c r="S34" s="3"/>
      <c r="T34" s="8">
        <v>8462.1</v>
      </c>
      <c r="U34" s="3"/>
      <c r="V34" s="7">
        <f t="shared" si="13"/>
        <v>0</v>
      </c>
      <c r="W34" s="3"/>
      <c r="X34" s="8">
        <f t="shared" si="14"/>
        <v>-6257.8600000000006</v>
      </c>
      <c r="Y34" s="3"/>
      <c r="Z34" s="7">
        <f t="shared" si="15"/>
        <v>-0.73951619574337346</v>
      </c>
    </row>
    <row r="35" spans="1:26" s="24" customFormat="1" hidden="1" outlineLevel="2" x14ac:dyDescent="0.3">
      <c r="A35" s="27"/>
      <c r="B35" s="12" t="str">
        <f>CONCATENATE("          ", "6006", " - ", "TEMPORARY PART TIME")</f>
        <v xml:space="preserve">          6006 - TEMPORARY PART TIME</v>
      </c>
      <c r="C35" s="12"/>
      <c r="D35" s="8">
        <v>2864.4</v>
      </c>
      <c r="E35" s="3"/>
      <c r="F35" s="7">
        <f t="shared" si="8"/>
        <v>0</v>
      </c>
      <c r="G35" s="3"/>
      <c r="H35" s="8">
        <v>1545.92</v>
      </c>
      <c r="I35" s="3"/>
      <c r="J35" s="7">
        <f t="shared" si="9"/>
        <v>0</v>
      </c>
      <c r="K35" s="3"/>
      <c r="L35" s="8">
        <f t="shared" si="10"/>
        <v>1318.48</v>
      </c>
      <c r="M35" s="3"/>
      <c r="N35" s="7">
        <f t="shared" si="11"/>
        <v>0.85287725108673151</v>
      </c>
      <c r="O35" s="12"/>
      <c r="P35" s="8">
        <v>2864.4</v>
      </c>
      <c r="Q35" s="3"/>
      <c r="R35" s="7">
        <f t="shared" si="12"/>
        <v>0</v>
      </c>
      <c r="S35" s="3"/>
      <c r="T35" s="8">
        <v>1545.92</v>
      </c>
      <c r="U35" s="3"/>
      <c r="V35" s="7">
        <f t="shared" si="13"/>
        <v>0</v>
      </c>
      <c r="W35" s="3"/>
      <c r="X35" s="8">
        <f t="shared" si="14"/>
        <v>1318.48</v>
      </c>
      <c r="Y35" s="3"/>
      <c r="Z35" s="7">
        <f t="shared" si="15"/>
        <v>0.85287725108673151</v>
      </c>
    </row>
    <row r="36" spans="1:26" s="24" customFormat="1" hidden="1" outlineLevel="2" x14ac:dyDescent="0.3">
      <c r="A36" s="27"/>
      <c r="B36" s="12" t="str">
        <f>CONCATENATE("          ", "6007", " - ", "STUDENT HOURLY")</f>
        <v xml:space="preserve">          6007 - STUDENT HOURLY</v>
      </c>
      <c r="C36" s="12"/>
      <c r="D36" s="8">
        <v>25588.93</v>
      </c>
      <c r="E36" s="3"/>
      <c r="F36" s="7">
        <f t="shared" si="8"/>
        <v>0</v>
      </c>
      <c r="G36" s="3"/>
      <c r="H36" s="8">
        <v>16655.52</v>
      </c>
      <c r="I36" s="3"/>
      <c r="J36" s="7">
        <f t="shared" si="9"/>
        <v>0</v>
      </c>
      <c r="K36" s="3"/>
      <c r="L36" s="8">
        <f t="shared" si="10"/>
        <v>8933.41</v>
      </c>
      <c r="M36" s="3"/>
      <c r="N36" s="7">
        <f t="shared" si="11"/>
        <v>0.53636331978827434</v>
      </c>
      <c r="O36" s="12"/>
      <c r="P36" s="8">
        <v>25588.93</v>
      </c>
      <c r="Q36" s="3"/>
      <c r="R36" s="7">
        <f t="shared" si="12"/>
        <v>0</v>
      </c>
      <c r="S36" s="3"/>
      <c r="T36" s="8">
        <v>16655.52</v>
      </c>
      <c r="U36" s="3"/>
      <c r="V36" s="7">
        <f t="shared" si="13"/>
        <v>0</v>
      </c>
      <c r="W36" s="3"/>
      <c r="X36" s="8">
        <f t="shared" si="14"/>
        <v>8933.41</v>
      </c>
      <c r="Y36" s="3"/>
      <c r="Z36" s="7">
        <f t="shared" si="15"/>
        <v>0.53636331978827434</v>
      </c>
    </row>
    <row r="37" spans="1:26" s="24" customFormat="1" hidden="1" outlineLevel="2" x14ac:dyDescent="0.3">
      <c r="A37" s="27"/>
      <c r="B37" s="12" t="str">
        <f>CONCATENATE("          ", "6008", " - ", "STUDENT HOURLY-FICA EXEMPT")</f>
        <v xml:space="preserve">          6008 - STUDENT HOURLY-FICA EXEMPT</v>
      </c>
      <c r="C37" s="12"/>
      <c r="D37" s="8">
        <v>1966.16</v>
      </c>
      <c r="E37" s="3"/>
      <c r="F37" s="7">
        <f t="shared" si="8"/>
        <v>0</v>
      </c>
      <c r="G37" s="3"/>
      <c r="H37" s="8"/>
      <c r="I37" s="3"/>
      <c r="J37" s="7">
        <f t="shared" si="9"/>
        <v>0</v>
      </c>
      <c r="K37" s="3"/>
      <c r="L37" s="8">
        <f t="shared" si="10"/>
        <v>1966.16</v>
      </c>
      <c r="M37" s="3"/>
      <c r="N37" s="7">
        <f t="shared" si="11"/>
        <v>0</v>
      </c>
      <c r="O37" s="12"/>
      <c r="P37" s="8">
        <v>1966.16</v>
      </c>
      <c r="Q37" s="3"/>
      <c r="R37" s="7">
        <f t="shared" si="12"/>
        <v>0</v>
      </c>
      <c r="S37" s="3"/>
      <c r="T37" s="8"/>
      <c r="U37" s="3"/>
      <c r="V37" s="7">
        <f t="shared" si="13"/>
        <v>0</v>
      </c>
      <c r="W37" s="3"/>
      <c r="X37" s="8">
        <f t="shared" si="14"/>
        <v>1966.16</v>
      </c>
      <c r="Y37" s="3"/>
      <c r="Z37" s="7">
        <f t="shared" si="15"/>
        <v>0</v>
      </c>
    </row>
    <row r="38" spans="1:26" s="29" customFormat="1" outlineLevel="1" collapsed="1" x14ac:dyDescent="0.3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SUM(OSRRefD22_2x_0)</f>
        <v>0.67</v>
      </c>
      <c r="E38" s="1"/>
      <c r="F38" s="5">
        <f t="shared" ref="F38:F44" si="16">IF(D$12=0,0,D38/D$12)</f>
        <v>0</v>
      </c>
      <c r="G38" s="1"/>
      <c r="H38" s="1">
        <f>SUM(OSRRefH22_2x_0)</f>
        <v>5.88</v>
      </c>
      <c r="I38" s="1"/>
      <c r="J38" s="5">
        <f t="shared" ref="J38:J44" si="17">IF(H$12=0,0,H38/H$12)</f>
        <v>0</v>
      </c>
      <c r="K38" s="1"/>
      <c r="L38" s="1">
        <f t="shared" ref="L38:L44" si="18">+D38-H38</f>
        <v>-5.21</v>
      </c>
      <c r="M38" s="1"/>
      <c r="N38" s="5">
        <f t="shared" ref="N38:N44" si="19">IF(H38=0,0,L38/H38)</f>
        <v>-0.88605442176870752</v>
      </c>
      <c r="O38" s="14"/>
      <c r="P38" s="1">
        <f>SUM(OSRRefP22_2x_0)</f>
        <v>0.67</v>
      </c>
      <c r="Q38" s="1"/>
      <c r="R38" s="5">
        <f t="shared" ref="R38:R44" si="20">IF(P$12=0,0,P38/P$12)</f>
        <v>0</v>
      </c>
      <c r="S38" s="1"/>
      <c r="T38" s="1">
        <f>SUM(OSRRefT22_2x_0)</f>
        <v>5.88</v>
      </c>
      <c r="U38" s="1"/>
      <c r="V38" s="5">
        <f t="shared" ref="V38:V44" si="21">IF(T$12=0,0,T38/T$12)</f>
        <v>0</v>
      </c>
      <c r="W38" s="1"/>
      <c r="X38" s="1">
        <f t="shared" ref="X38:X44" si="22">+P38-T38</f>
        <v>-5.21</v>
      </c>
      <c r="Y38" s="1"/>
      <c r="Z38" s="5">
        <f t="shared" ref="Z38:Z44" si="23">IF(T38=0,0,X38/T38)</f>
        <v>-0.88605442176870752</v>
      </c>
    </row>
    <row r="39" spans="1:26" s="24" customFormat="1" hidden="1" outlineLevel="2" x14ac:dyDescent="0.3">
      <c r="A39" s="27"/>
      <c r="B39" s="12" t="str">
        <f>CONCATENATE("          ", "6272", " - ", "CASH (OVER/SHORT)")</f>
        <v xml:space="preserve">          6272 - CASH (OVER/SHORT)</v>
      </c>
      <c r="C39" s="12"/>
      <c r="D39" s="8">
        <v>0.67</v>
      </c>
      <c r="E39" s="3"/>
      <c r="F39" s="7">
        <f t="shared" si="16"/>
        <v>0</v>
      </c>
      <c r="G39" s="3"/>
      <c r="H39" s="8">
        <v>5.88</v>
      </c>
      <c r="I39" s="3"/>
      <c r="J39" s="7">
        <f t="shared" si="17"/>
        <v>0</v>
      </c>
      <c r="K39" s="3"/>
      <c r="L39" s="8">
        <f t="shared" si="18"/>
        <v>-5.21</v>
      </c>
      <c r="M39" s="3"/>
      <c r="N39" s="7">
        <f t="shared" si="19"/>
        <v>-0.88605442176870752</v>
      </c>
      <c r="O39" s="12"/>
      <c r="P39" s="8">
        <v>0.67</v>
      </c>
      <c r="Q39" s="3"/>
      <c r="R39" s="7">
        <f t="shared" si="20"/>
        <v>0</v>
      </c>
      <c r="S39" s="3"/>
      <c r="T39" s="8">
        <v>5.88</v>
      </c>
      <c r="U39" s="3"/>
      <c r="V39" s="7">
        <f t="shared" si="21"/>
        <v>0</v>
      </c>
      <c r="W39" s="3"/>
      <c r="X39" s="8">
        <f t="shared" si="22"/>
        <v>-5.21</v>
      </c>
      <c r="Y39" s="3"/>
      <c r="Z39" s="7">
        <f t="shared" si="23"/>
        <v>-0.88605442176870752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3469.56</v>
      </c>
      <c r="E40" s="1"/>
      <c r="F40" s="5">
        <f t="shared" si="16"/>
        <v>0</v>
      </c>
      <c r="G40" s="1"/>
      <c r="H40" s="1">
        <f>SUM(OSRRefH22_3x_0)</f>
        <v>2810.32</v>
      </c>
      <c r="I40" s="1"/>
      <c r="J40" s="5">
        <f t="shared" si="17"/>
        <v>0</v>
      </c>
      <c r="K40" s="1"/>
      <c r="L40" s="1">
        <f t="shared" si="18"/>
        <v>659.23999999999978</v>
      </c>
      <c r="M40" s="1"/>
      <c r="N40" s="5">
        <f t="shared" si="19"/>
        <v>0.23457826866691328</v>
      </c>
      <c r="O40" s="14"/>
      <c r="P40" s="1">
        <f>SUM(OSRRefP22_3x_0)</f>
        <v>3469.56</v>
      </c>
      <c r="Q40" s="1"/>
      <c r="R40" s="5">
        <f t="shared" si="20"/>
        <v>0</v>
      </c>
      <c r="S40" s="1"/>
      <c r="T40" s="1">
        <f>SUM(OSRRefT22_3x_0)</f>
        <v>2810.32</v>
      </c>
      <c r="U40" s="1"/>
      <c r="V40" s="5">
        <f t="shared" si="21"/>
        <v>0</v>
      </c>
      <c r="W40" s="1"/>
      <c r="X40" s="1">
        <f t="shared" si="22"/>
        <v>659.23999999999978</v>
      </c>
      <c r="Y40" s="1"/>
      <c r="Z40" s="5">
        <f t="shared" si="23"/>
        <v>0.23457826866691328</v>
      </c>
    </row>
    <row r="41" spans="1:26" s="24" customFormat="1" hidden="1" outlineLevel="2" x14ac:dyDescent="0.3">
      <c r="A41" s="27"/>
      <c r="B41" s="12" t="str">
        <f>CONCATENATE("          ", "6381", " - ", "BANK/CREDIT CARD FEES")</f>
        <v xml:space="preserve">          6381 - BANK/CREDIT CARD FEES</v>
      </c>
      <c r="C41" s="12"/>
      <c r="D41" s="8">
        <v>3469.56</v>
      </c>
      <c r="E41" s="3"/>
      <c r="F41" s="7">
        <f t="shared" si="16"/>
        <v>0</v>
      </c>
      <c r="G41" s="3"/>
      <c r="H41" s="8">
        <v>2810.32</v>
      </c>
      <c r="I41" s="3"/>
      <c r="J41" s="7">
        <f t="shared" si="17"/>
        <v>0</v>
      </c>
      <c r="K41" s="3"/>
      <c r="L41" s="8">
        <f t="shared" si="18"/>
        <v>659.23999999999978</v>
      </c>
      <c r="M41" s="3"/>
      <c r="N41" s="7">
        <f t="shared" si="19"/>
        <v>0.23457826866691328</v>
      </c>
      <c r="O41" s="12"/>
      <c r="P41" s="8">
        <v>3469.56</v>
      </c>
      <c r="Q41" s="3"/>
      <c r="R41" s="7">
        <f t="shared" si="20"/>
        <v>0</v>
      </c>
      <c r="S41" s="3"/>
      <c r="T41" s="8">
        <v>2810.32</v>
      </c>
      <c r="U41" s="3"/>
      <c r="V41" s="7">
        <f t="shared" si="21"/>
        <v>0</v>
      </c>
      <c r="W41" s="3"/>
      <c r="X41" s="8">
        <f t="shared" si="22"/>
        <v>659.23999999999978</v>
      </c>
      <c r="Y41" s="3"/>
      <c r="Z41" s="7">
        <f t="shared" si="23"/>
        <v>0.23457826866691328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30550.800000000003</v>
      </c>
      <c r="E42" s="1"/>
      <c r="F42" s="5">
        <f t="shared" si="16"/>
        <v>0</v>
      </c>
      <c r="G42" s="1"/>
      <c r="H42" s="1">
        <f>SUM(OSRRefH22_4x_0)</f>
        <v>30176.98</v>
      </c>
      <c r="I42" s="1"/>
      <c r="J42" s="5">
        <f t="shared" si="17"/>
        <v>0</v>
      </c>
      <c r="K42" s="1"/>
      <c r="L42" s="1">
        <f t="shared" si="18"/>
        <v>373.82000000000335</v>
      </c>
      <c r="M42" s="1"/>
      <c r="N42" s="5">
        <f t="shared" si="19"/>
        <v>1.2387588154944708E-2</v>
      </c>
      <c r="O42" s="14"/>
      <c r="P42" s="1">
        <f>SUM(OSRRefP22_4x_0)</f>
        <v>30550.800000000003</v>
      </c>
      <c r="Q42" s="1"/>
      <c r="R42" s="5">
        <f t="shared" si="20"/>
        <v>0</v>
      </c>
      <c r="S42" s="1"/>
      <c r="T42" s="1">
        <f>SUM(OSRRefT22_4x_0)</f>
        <v>30176.98</v>
      </c>
      <c r="U42" s="1"/>
      <c r="V42" s="5">
        <f t="shared" si="21"/>
        <v>0</v>
      </c>
      <c r="W42" s="1"/>
      <c r="X42" s="1">
        <f t="shared" si="22"/>
        <v>373.82000000000335</v>
      </c>
      <c r="Y42" s="1"/>
      <c r="Z42" s="5">
        <f t="shared" si="23"/>
        <v>1.2387588154944708E-2</v>
      </c>
    </row>
    <row r="43" spans="1:26" s="24" customFormat="1" hidden="1" outlineLevel="2" x14ac:dyDescent="0.3">
      <c r="A43" s="27"/>
      <c r="B43" s="12" t="str">
        <f>CONCATENATE("          ", "6321", " - ", "BUILDING DEPRECIATION")</f>
        <v xml:space="preserve">          6321 - BUILDING DEPRECIATION</v>
      </c>
      <c r="C43" s="12"/>
      <c r="D43" s="8">
        <v>16396.52</v>
      </c>
      <c r="E43" s="3"/>
      <c r="F43" s="7">
        <f t="shared" si="16"/>
        <v>0</v>
      </c>
      <c r="G43" s="3"/>
      <c r="H43" s="8">
        <v>16396.52</v>
      </c>
      <c r="I43" s="3"/>
      <c r="J43" s="7">
        <f t="shared" si="17"/>
        <v>0</v>
      </c>
      <c r="K43" s="3"/>
      <c r="L43" s="8">
        <f t="shared" si="18"/>
        <v>0</v>
      </c>
      <c r="M43" s="3"/>
      <c r="N43" s="7">
        <f t="shared" si="19"/>
        <v>0</v>
      </c>
      <c r="O43" s="12"/>
      <c r="P43" s="8">
        <v>16396.52</v>
      </c>
      <c r="Q43" s="3"/>
      <c r="R43" s="7">
        <f t="shared" si="20"/>
        <v>0</v>
      </c>
      <c r="S43" s="3"/>
      <c r="T43" s="8">
        <v>16396.52</v>
      </c>
      <c r="U43" s="3"/>
      <c r="V43" s="7">
        <f t="shared" si="21"/>
        <v>0</v>
      </c>
      <c r="W43" s="3"/>
      <c r="X43" s="8">
        <f t="shared" si="22"/>
        <v>0</v>
      </c>
      <c r="Y43" s="3"/>
      <c r="Z43" s="7">
        <f t="shared" si="23"/>
        <v>0</v>
      </c>
    </row>
    <row r="44" spans="1:26" s="24" customFormat="1" hidden="1" outlineLevel="2" x14ac:dyDescent="0.3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8">
        <v>14154.28</v>
      </c>
      <c r="E44" s="3"/>
      <c r="F44" s="7">
        <f t="shared" si="16"/>
        <v>0</v>
      </c>
      <c r="G44" s="3"/>
      <c r="H44" s="8">
        <v>13780.46</v>
      </c>
      <c r="I44" s="3"/>
      <c r="J44" s="7">
        <f t="shared" si="17"/>
        <v>0</v>
      </c>
      <c r="K44" s="3"/>
      <c r="L44" s="8">
        <f t="shared" si="18"/>
        <v>373.82000000000153</v>
      </c>
      <c r="M44" s="3"/>
      <c r="N44" s="7">
        <f t="shared" si="19"/>
        <v>2.7126815795699241E-2</v>
      </c>
      <c r="O44" s="12"/>
      <c r="P44" s="8">
        <v>14154.28</v>
      </c>
      <c r="Q44" s="3"/>
      <c r="R44" s="7">
        <f t="shared" si="20"/>
        <v>0</v>
      </c>
      <c r="S44" s="3"/>
      <c r="T44" s="8">
        <v>13780.46</v>
      </c>
      <c r="U44" s="3"/>
      <c r="V44" s="7">
        <f t="shared" si="21"/>
        <v>0</v>
      </c>
      <c r="W44" s="3"/>
      <c r="X44" s="8">
        <f t="shared" si="22"/>
        <v>373.82000000000153</v>
      </c>
      <c r="Y44" s="3"/>
      <c r="Z44" s="7">
        <f t="shared" si="23"/>
        <v>2.7126815795699241E-2</v>
      </c>
    </row>
    <row r="45" spans="1:26" s="29" customFormat="1" outlineLevel="1" collapsed="1" x14ac:dyDescent="0.3">
      <c r="A45" s="28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SUM(OSRRefD22_5x_0)</f>
        <v>-0.68</v>
      </c>
      <c r="E45" s="1"/>
      <c r="F45" s="5">
        <f t="shared" ref="F45:F62" si="24">IF(D$12=0,0,D45/D$12)</f>
        <v>0</v>
      </c>
      <c r="G45" s="1"/>
      <c r="H45" s="1">
        <f>SUM(OSRRefH22_5x_0)</f>
        <v>0</v>
      </c>
      <c r="I45" s="1"/>
      <c r="J45" s="5">
        <f t="shared" ref="J45:J62" si="25">IF(H$12=0,0,H45/H$12)</f>
        <v>0</v>
      </c>
      <c r="K45" s="1"/>
      <c r="L45" s="1">
        <f t="shared" ref="L45:L62" si="26">+D45-H45</f>
        <v>-0.68</v>
      </c>
      <c r="M45" s="1"/>
      <c r="N45" s="5">
        <f t="shared" ref="N45:N62" si="27">IF(H45=0,0,L45/H45)</f>
        <v>0</v>
      </c>
      <c r="O45" s="14"/>
      <c r="P45" s="1">
        <f>SUM(OSRRefP22_5x_0)</f>
        <v>-0.68</v>
      </c>
      <c r="Q45" s="1"/>
      <c r="R45" s="5">
        <f t="shared" ref="R45:R62" si="28">IF(P$12=0,0,P45/P$12)</f>
        <v>0</v>
      </c>
      <c r="S45" s="1"/>
      <c r="T45" s="1">
        <f>SUM(OSRRefT22_5x_0)</f>
        <v>0</v>
      </c>
      <c r="U45" s="1"/>
      <c r="V45" s="5">
        <f t="shared" ref="V45:V62" si="29">IF(T$12=0,0,T45/T$12)</f>
        <v>0</v>
      </c>
      <c r="W45" s="1"/>
      <c r="X45" s="1">
        <f t="shared" ref="X45:X62" si="30">+P45-T45</f>
        <v>-0.68</v>
      </c>
      <c r="Y45" s="1"/>
      <c r="Z45" s="5">
        <f t="shared" ref="Z45:Z62" si="31">IF(T45=0,0,X45/T45)</f>
        <v>0</v>
      </c>
    </row>
    <row r="46" spans="1:26" s="24" customFormat="1" hidden="1" outlineLevel="2" x14ac:dyDescent="0.3">
      <c r="A46" s="27"/>
      <c r="B46" s="12" t="str">
        <f>CONCATENATE("          ", "9175", " - ", "EARNED DISCOUNTS")</f>
        <v xml:space="preserve">          9175 - EARNED DISCOUNTS</v>
      </c>
      <c r="C46" s="12"/>
      <c r="D46" s="8">
        <v>-0.68</v>
      </c>
      <c r="E46" s="3"/>
      <c r="F46" s="7">
        <f t="shared" si="24"/>
        <v>0</v>
      </c>
      <c r="G46" s="3"/>
      <c r="H46" s="8"/>
      <c r="I46" s="3"/>
      <c r="J46" s="7">
        <f t="shared" si="25"/>
        <v>0</v>
      </c>
      <c r="K46" s="3"/>
      <c r="L46" s="8">
        <f t="shared" si="26"/>
        <v>-0.68</v>
      </c>
      <c r="M46" s="3"/>
      <c r="N46" s="7">
        <f t="shared" si="27"/>
        <v>0</v>
      </c>
      <c r="O46" s="12"/>
      <c r="P46" s="8">
        <v>-0.68</v>
      </c>
      <c r="Q46" s="3"/>
      <c r="R46" s="7">
        <f t="shared" si="28"/>
        <v>0</v>
      </c>
      <c r="S46" s="3"/>
      <c r="T46" s="8"/>
      <c r="U46" s="3"/>
      <c r="V46" s="7">
        <f t="shared" si="29"/>
        <v>0</v>
      </c>
      <c r="W46" s="3"/>
      <c r="X46" s="8">
        <f t="shared" si="30"/>
        <v>-0.68</v>
      </c>
      <c r="Y46" s="3"/>
      <c r="Z46" s="7">
        <f t="shared" si="31"/>
        <v>0</v>
      </c>
    </row>
    <row r="47" spans="1:26" s="29" customFormat="1" outlineLevel="1" collapsed="1" x14ac:dyDescent="0.3">
      <c r="A47" s="28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320.92</v>
      </c>
      <c r="E47" s="1"/>
      <c r="F47" s="5">
        <f t="shared" si="24"/>
        <v>0</v>
      </c>
      <c r="G47" s="1"/>
      <c r="H47" s="1">
        <f>SUM(OSRRefH22_6x_0)</f>
        <v>0</v>
      </c>
      <c r="I47" s="1"/>
      <c r="J47" s="5">
        <f t="shared" si="25"/>
        <v>0</v>
      </c>
      <c r="K47" s="1"/>
      <c r="L47" s="1">
        <f t="shared" si="26"/>
        <v>320.92</v>
      </c>
      <c r="M47" s="1"/>
      <c r="N47" s="5">
        <f t="shared" si="27"/>
        <v>0</v>
      </c>
      <c r="O47" s="14"/>
      <c r="P47" s="1">
        <f>SUM(OSRRefP22_6x_0)</f>
        <v>320.92</v>
      </c>
      <c r="Q47" s="1"/>
      <c r="R47" s="5">
        <f t="shared" si="28"/>
        <v>0</v>
      </c>
      <c r="S47" s="1"/>
      <c r="T47" s="1">
        <f>SUM(OSRRefT22_6x_0)</f>
        <v>0</v>
      </c>
      <c r="U47" s="1"/>
      <c r="V47" s="5">
        <f t="shared" si="29"/>
        <v>0</v>
      </c>
      <c r="W47" s="1"/>
      <c r="X47" s="1">
        <f t="shared" si="30"/>
        <v>320.92</v>
      </c>
      <c r="Y47" s="1"/>
      <c r="Z47" s="5">
        <f t="shared" si="31"/>
        <v>0</v>
      </c>
    </row>
    <row r="48" spans="1:26" s="24" customFormat="1" hidden="1" outlineLevel="2" x14ac:dyDescent="0.3">
      <c r="A48" s="27"/>
      <c r="B48" s="12" t="str">
        <f>CONCATENATE("          ", "6277", " - ", "EMPLOYEE APPRECIATION")</f>
        <v xml:space="preserve">          6277 - EMPLOYEE APPRECIATION</v>
      </c>
      <c r="C48" s="12"/>
      <c r="D48" s="8">
        <v>320.92</v>
      </c>
      <c r="E48" s="3"/>
      <c r="F48" s="7">
        <f t="shared" si="24"/>
        <v>0</v>
      </c>
      <c r="G48" s="3"/>
      <c r="H48" s="8"/>
      <c r="I48" s="3"/>
      <c r="J48" s="7">
        <f t="shared" si="25"/>
        <v>0</v>
      </c>
      <c r="K48" s="3"/>
      <c r="L48" s="8">
        <f t="shared" si="26"/>
        <v>320.92</v>
      </c>
      <c r="M48" s="3"/>
      <c r="N48" s="7">
        <f t="shared" si="27"/>
        <v>0</v>
      </c>
      <c r="O48" s="12"/>
      <c r="P48" s="8">
        <v>320.92</v>
      </c>
      <c r="Q48" s="3"/>
      <c r="R48" s="7">
        <f t="shared" si="28"/>
        <v>0</v>
      </c>
      <c r="S48" s="3"/>
      <c r="T48" s="8"/>
      <c r="U48" s="3"/>
      <c r="V48" s="7">
        <f t="shared" si="29"/>
        <v>0</v>
      </c>
      <c r="W48" s="3"/>
      <c r="X48" s="8">
        <f t="shared" si="30"/>
        <v>320.92</v>
      </c>
      <c r="Y48" s="3"/>
      <c r="Z48" s="7">
        <f t="shared" si="31"/>
        <v>0</v>
      </c>
    </row>
    <row r="49" spans="1:26" s="29" customFormat="1" outlineLevel="1" collapsed="1" x14ac:dyDescent="0.3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91.26</v>
      </c>
      <c r="E49" s="1"/>
      <c r="F49" s="5">
        <f t="shared" si="24"/>
        <v>0</v>
      </c>
      <c r="G49" s="1"/>
      <c r="H49" s="1">
        <f>SUM(OSRRefH22_7x_0)</f>
        <v>91.26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SUM(OSRRefP22_7x_0)</f>
        <v>91.26</v>
      </c>
      <c r="Q49" s="1"/>
      <c r="R49" s="5">
        <f t="shared" si="28"/>
        <v>0</v>
      </c>
      <c r="S49" s="1"/>
      <c r="T49" s="1">
        <f>SUM(OSRRefT22_7x_0)</f>
        <v>91.26</v>
      </c>
      <c r="U49" s="1"/>
      <c r="V49" s="5">
        <f t="shared" si="29"/>
        <v>0</v>
      </c>
      <c r="W49" s="1"/>
      <c r="X49" s="1">
        <f t="shared" si="30"/>
        <v>0</v>
      </c>
      <c r="Y49" s="1"/>
      <c r="Z49" s="5">
        <f t="shared" si="31"/>
        <v>0</v>
      </c>
    </row>
    <row r="50" spans="1:26" s="24" customFormat="1" hidden="1" outlineLevel="2" x14ac:dyDescent="0.3">
      <c r="A50" s="27"/>
      <c r="B50" s="12" t="str">
        <f>CONCATENATE("          ", "6351", " - ", "EQUIPMENT RENTAL")</f>
        <v xml:space="preserve">          6351 - EQUIPMENT RENTAL</v>
      </c>
      <c r="C50" s="12"/>
      <c r="D50" s="8">
        <v>91.26</v>
      </c>
      <c r="E50" s="3"/>
      <c r="F50" s="7">
        <f t="shared" si="24"/>
        <v>0</v>
      </c>
      <c r="G50" s="3"/>
      <c r="H50" s="8">
        <v>91.26</v>
      </c>
      <c r="I50" s="3"/>
      <c r="J50" s="7">
        <f t="shared" si="25"/>
        <v>0</v>
      </c>
      <c r="K50" s="3"/>
      <c r="L50" s="8">
        <f t="shared" si="26"/>
        <v>0</v>
      </c>
      <c r="M50" s="3"/>
      <c r="N50" s="7">
        <f t="shared" si="27"/>
        <v>0</v>
      </c>
      <c r="O50" s="12"/>
      <c r="P50" s="8">
        <v>91.26</v>
      </c>
      <c r="Q50" s="3"/>
      <c r="R50" s="7">
        <f t="shared" si="28"/>
        <v>0</v>
      </c>
      <c r="S50" s="3"/>
      <c r="T50" s="8">
        <v>91.26</v>
      </c>
      <c r="U50" s="3"/>
      <c r="V50" s="7">
        <f t="shared" si="29"/>
        <v>0</v>
      </c>
      <c r="W50" s="3"/>
      <c r="X50" s="8">
        <f t="shared" si="30"/>
        <v>0</v>
      </c>
      <c r="Y50" s="3"/>
      <c r="Z50" s="7">
        <f t="shared" si="31"/>
        <v>0</v>
      </c>
    </row>
    <row r="51" spans="1:26" s="29" customFormat="1" outlineLevel="1" collapsed="1" x14ac:dyDescent="0.3">
      <c r="A51" s="28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SUM(OSRRefD22_8x_0)</f>
        <v>315.95</v>
      </c>
      <c r="E51" s="1"/>
      <c r="F51" s="5">
        <f t="shared" si="24"/>
        <v>0</v>
      </c>
      <c r="G51" s="1"/>
      <c r="H51" s="1">
        <f>SUM(OSRRefH22_8x_0)</f>
        <v>0</v>
      </c>
      <c r="I51" s="1"/>
      <c r="J51" s="5">
        <f t="shared" si="25"/>
        <v>0</v>
      </c>
      <c r="K51" s="1"/>
      <c r="L51" s="1">
        <f t="shared" si="26"/>
        <v>315.95</v>
      </c>
      <c r="M51" s="1"/>
      <c r="N51" s="5">
        <f t="shared" si="27"/>
        <v>0</v>
      </c>
      <c r="O51" s="14"/>
      <c r="P51" s="1">
        <f>SUM(OSRRefP22_8x_0)</f>
        <v>315.95</v>
      </c>
      <c r="Q51" s="1"/>
      <c r="R51" s="5">
        <f t="shared" si="28"/>
        <v>0</v>
      </c>
      <c r="S51" s="1"/>
      <c r="T51" s="1">
        <f>SUM(OSRRefT22_8x_0)</f>
        <v>0</v>
      </c>
      <c r="U51" s="1"/>
      <c r="V51" s="5">
        <f t="shared" si="29"/>
        <v>0</v>
      </c>
      <c r="W51" s="1"/>
      <c r="X51" s="1">
        <f t="shared" si="30"/>
        <v>315.95</v>
      </c>
      <c r="Y51" s="1"/>
      <c r="Z51" s="5">
        <f t="shared" si="31"/>
        <v>0</v>
      </c>
    </row>
    <row r="52" spans="1:26" s="24" customFormat="1" hidden="1" outlineLevel="2" x14ac:dyDescent="0.3">
      <c r="A52" s="27"/>
      <c r="B52" s="12" t="str">
        <f>CONCATENATE("          ", "6307", " - ", "POSTAGE")</f>
        <v xml:space="preserve">          6307 - POSTAGE</v>
      </c>
      <c r="C52" s="12"/>
      <c r="D52" s="8">
        <v>315.95</v>
      </c>
      <c r="E52" s="3"/>
      <c r="F52" s="7">
        <f t="shared" si="24"/>
        <v>0</v>
      </c>
      <c r="G52" s="3"/>
      <c r="H52" s="8"/>
      <c r="I52" s="3"/>
      <c r="J52" s="7">
        <f t="shared" si="25"/>
        <v>0</v>
      </c>
      <c r="K52" s="3"/>
      <c r="L52" s="8">
        <f t="shared" si="26"/>
        <v>315.95</v>
      </c>
      <c r="M52" s="3"/>
      <c r="N52" s="7">
        <f t="shared" si="27"/>
        <v>0</v>
      </c>
      <c r="O52" s="12"/>
      <c r="P52" s="8">
        <v>315.95</v>
      </c>
      <c r="Q52" s="3"/>
      <c r="R52" s="7">
        <f t="shared" si="28"/>
        <v>0</v>
      </c>
      <c r="S52" s="3"/>
      <c r="T52" s="8"/>
      <c r="U52" s="3"/>
      <c r="V52" s="7">
        <f t="shared" si="29"/>
        <v>0</v>
      </c>
      <c r="W52" s="3"/>
      <c r="X52" s="8">
        <f t="shared" si="30"/>
        <v>315.95</v>
      </c>
      <c r="Y52" s="3"/>
      <c r="Z52" s="7">
        <f t="shared" si="31"/>
        <v>0</v>
      </c>
    </row>
    <row r="53" spans="1:26" s="29" customFormat="1" outlineLevel="1" collapsed="1" x14ac:dyDescent="0.3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SUM(OSRRefD22_9x_0)</f>
        <v>778</v>
      </c>
      <c r="E53" s="1"/>
      <c r="F53" s="5">
        <f t="shared" si="24"/>
        <v>0</v>
      </c>
      <c r="G53" s="1"/>
      <c r="H53" s="1">
        <f>SUM(OSRRefH22_9x_0)</f>
        <v>754.55</v>
      </c>
      <c r="I53" s="1"/>
      <c r="J53" s="5">
        <f t="shared" si="25"/>
        <v>0</v>
      </c>
      <c r="K53" s="1"/>
      <c r="L53" s="1">
        <f t="shared" si="26"/>
        <v>23.450000000000045</v>
      </c>
      <c r="M53" s="1"/>
      <c r="N53" s="5">
        <f t="shared" si="27"/>
        <v>3.107812603538539E-2</v>
      </c>
      <c r="O53" s="14"/>
      <c r="P53" s="1">
        <f>SUM(OSRRefP22_9x_0)</f>
        <v>778</v>
      </c>
      <c r="Q53" s="1"/>
      <c r="R53" s="5">
        <f t="shared" si="28"/>
        <v>0</v>
      </c>
      <c r="S53" s="1"/>
      <c r="T53" s="1">
        <f>SUM(OSRRefT22_9x_0)</f>
        <v>754.55</v>
      </c>
      <c r="U53" s="1"/>
      <c r="V53" s="5">
        <f t="shared" si="29"/>
        <v>0</v>
      </c>
      <c r="W53" s="1"/>
      <c r="X53" s="1">
        <f t="shared" si="30"/>
        <v>23.450000000000045</v>
      </c>
      <c r="Y53" s="1"/>
      <c r="Z53" s="5">
        <f t="shared" si="31"/>
        <v>3.107812603538539E-2</v>
      </c>
    </row>
    <row r="54" spans="1:26" s="24" customFormat="1" hidden="1" outlineLevel="2" x14ac:dyDescent="0.3">
      <c r="A54" s="27"/>
      <c r="B54" s="12" t="str">
        <f>CONCATENATE("          ", "6279", " - ", "GENERAL EXPENSE")</f>
        <v xml:space="preserve">          6279 - GENERAL EXPENSE</v>
      </c>
      <c r="C54" s="12"/>
      <c r="D54" s="8">
        <v>778</v>
      </c>
      <c r="E54" s="3"/>
      <c r="F54" s="7">
        <f t="shared" si="24"/>
        <v>0</v>
      </c>
      <c r="G54" s="3"/>
      <c r="H54" s="8">
        <v>754.55</v>
      </c>
      <c r="I54" s="3"/>
      <c r="J54" s="7">
        <f t="shared" si="25"/>
        <v>0</v>
      </c>
      <c r="K54" s="3"/>
      <c r="L54" s="8">
        <f t="shared" si="26"/>
        <v>23.450000000000045</v>
      </c>
      <c r="M54" s="3"/>
      <c r="N54" s="7">
        <f t="shared" si="27"/>
        <v>3.107812603538539E-2</v>
      </c>
      <c r="O54" s="12"/>
      <c r="P54" s="8">
        <v>778</v>
      </c>
      <c r="Q54" s="3"/>
      <c r="R54" s="7">
        <f t="shared" si="28"/>
        <v>0</v>
      </c>
      <c r="S54" s="3"/>
      <c r="T54" s="8">
        <v>754.55</v>
      </c>
      <c r="U54" s="3"/>
      <c r="V54" s="7">
        <f t="shared" si="29"/>
        <v>0</v>
      </c>
      <c r="W54" s="3"/>
      <c r="X54" s="8">
        <f t="shared" si="30"/>
        <v>23.450000000000045</v>
      </c>
      <c r="Y54" s="3"/>
      <c r="Z54" s="7">
        <f t="shared" si="31"/>
        <v>3.107812603538539E-2</v>
      </c>
    </row>
    <row r="55" spans="1:26" s="29" customFormat="1" outlineLevel="1" collapsed="1" x14ac:dyDescent="0.3">
      <c r="A55" s="28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SUM(OSRRefD22_10x_0)</f>
        <v>5275.49</v>
      </c>
      <c r="E55" s="1"/>
      <c r="F55" s="5">
        <f t="shared" si="24"/>
        <v>0</v>
      </c>
      <c r="G55" s="1"/>
      <c r="H55" s="1">
        <f>SUM(OSRRefH22_10x_0)</f>
        <v>3883.56</v>
      </c>
      <c r="I55" s="1"/>
      <c r="J55" s="5">
        <f t="shared" si="25"/>
        <v>0</v>
      </c>
      <c r="K55" s="1"/>
      <c r="L55" s="1">
        <f t="shared" si="26"/>
        <v>1391.9299999999998</v>
      </c>
      <c r="M55" s="1"/>
      <c r="N55" s="5">
        <f t="shared" si="27"/>
        <v>0.35841598945297609</v>
      </c>
      <c r="O55" s="14"/>
      <c r="P55" s="1">
        <f>SUM(OSRRefP22_10x_0)</f>
        <v>5275.49</v>
      </c>
      <c r="Q55" s="1"/>
      <c r="R55" s="5">
        <f t="shared" si="28"/>
        <v>0</v>
      </c>
      <c r="S55" s="1"/>
      <c r="T55" s="1">
        <f>SUM(OSRRefT22_10x_0)</f>
        <v>3883.56</v>
      </c>
      <c r="U55" s="1"/>
      <c r="V55" s="5">
        <f t="shared" si="29"/>
        <v>0</v>
      </c>
      <c r="W55" s="1"/>
      <c r="X55" s="1">
        <f t="shared" si="30"/>
        <v>1391.9299999999998</v>
      </c>
      <c r="Y55" s="1"/>
      <c r="Z55" s="5">
        <f t="shared" si="31"/>
        <v>0.35841598945297609</v>
      </c>
    </row>
    <row r="56" spans="1:26" s="24" customFormat="1" hidden="1" outlineLevel="2" x14ac:dyDescent="0.3">
      <c r="A56" s="27"/>
      <c r="B56" s="12" t="str">
        <f>CONCATENATE("          ", "6314", " - ", "LIABILITY INSURANCE")</f>
        <v xml:space="preserve">          6314 - LIABILITY INSURANCE</v>
      </c>
      <c r="C56" s="12"/>
      <c r="D56" s="8">
        <v>5275.49</v>
      </c>
      <c r="E56" s="3"/>
      <c r="F56" s="7">
        <f t="shared" si="24"/>
        <v>0</v>
      </c>
      <c r="G56" s="3"/>
      <c r="H56" s="8">
        <v>3883.56</v>
      </c>
      <c r="I56" s="3"/>
      <c r="J56" s="7">
        <f t="shared" si="25"/>
        <v>0</v>
      </c>
      <c r="K56" s="3"/>
      <c r="L56" s="8">
        <f t="shared" si="26"/>
        <v>1391.9299999999998</v>
      </c>
      <c r="M56" s="3"/>
      <c r="N56" s="7">
        <f t="shared" si="27"/>
        <v>0.35841598945297609</v>
      </c>
      <c r="O56" s="12"/>
      <c r="P56" s="8">
        <v>5275.49</v>
      </c>
      <c r="Q56" s="3"/>
      <c r="R56" s="7">
        <f t="shared" si="28"/>
        <v>0</v>
      </c>
      <c r="S56" s="3"/>
      <c r="T56" s="8">
        <v>3883.56</v>
      </c>
      <c r="U56" s="3"/>
      <c r="V56" s="7">
        <f t="shared" si="29"/>
        <v>0</v>
      </c>
      <c r="W56" s="3"/>
      <c r="X56" s="8">
        <f t="shared" si="30"/>
        <v>1391.9299999999998</v>
      </c>
      <c r="Y56" s="3"/>
      <c r="Z56" s="7">
        <f t="shared" si="31"/>
        <v>0.35841598945297609</v>
      </c>
    </row>
    <row r="57" spans="1:26" s="29" customFormat="1" outlineLevel="1" collapsed="1" x14ac:dyDescent="0.3">
      <c r="A57" s="28"/>
      <c r="B57" s="14" t="str">
        <f>CONCATENATE("     ","Rent                                              ")</f>
        <v xml:space="preserve">     Rent                                              </v>
      </c>
      <c r="C57" s="14"/>
      <c r="D57" s="1">
        <f>SUM(OSRRefD22_11x_0)</f>
        <v>-800</v>
      </c>
      <c r="E57" s="1"/>
      <c r="F57" s="5">
        <f t="shared" si="24"/>
        <v>0</v>
      </c>
      <c r="G57" s="1"/>
      <c r="H57" s="1">
        <f>SUM(OSRRefH22_11x_0)</f>
        <v>-800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4"/>
      <c r="P57" s="1">
        <f>SUM(OSRRefP22_11x_0)</f>
        <v>-800</v>
      </c>
      <c r="Q57" s="1"/>
      <c r="R57" s="5">
        <f t="shared" si="28"/>
        <v>0</v>
      </c>
      <c r="S57" s="1"/>
      <c r="T57" s="1">
        <f>SUM(OSRRefT22_11x_0)</f>
        <v>-800</v>
      </c>
      <c r="U57" s="1"/>
      <c r="V57" s="5">
        <f t="shared" si="29"/>
        <v>0</v>
      </c>
      <c r="W57" s="1"/>
      <c r="X57" s="1">
        <f t="shared" si="30"/>
        <v>0</v>
      </c>
      <c r="Y57" s="1"/>
      <c r="Z57" s="5">
        <f t="shared" si="31"/>
        <v>0</v>
      </c>
    </row>
    <row r="58" spans="1:26" s="24" customFormat="1" hidden="1" outlineLevel="2" x14ac:dyDescent="0.3">
      <c r="A58" s="27"/>
      <c r="B58" s="12" t="str">
        <f>CONCATENATE("          ", "6273", " - ", "RENT")</f>
        <v xml:space="preserve">          6273 - RENT</v>
      </c>
      <c r="C58" s="12"/>
      <c r="D58" s="8">
        <v>-800</v>
      </c>
      <c r="E58" s="3"/>
      <c r="F58" s="7">
        <f t="shared" si="24"/>
        <v>0</v>
      </c>
      <c r="G58" s="3"/>
      <c r="H58" s="8">
        <v>-800</v>
      </c>
      <c r="I58" s="3"/>
      <c r="J58" s="7">
        <f t="shared" si="25"/>
        <v>0</v>
      </c>
      <c r="K58" s="3"/>
      <c r="L58" s="8">
        <f t="shared" si="26"/>
        <v>0</v>
      </c>
      <c r="M58" s="3"/>
      <c r="N58" s="7">
        <f t="shared" si="27"/>
        <v>0</v>
      </c>
      <c r="O58" s="12"/>
      <c r="P58" s="8">
        <v>-800</v>
      </c>
      <c r="Q58" s="3"/>
      <c r="R58" s="7">
        <f t="shared" si="28"/>
        <v>0</v>
      </c>
      <c r="S58" s="3"/>
      <c r="T58" s="8">
        <v>-800</v>
      </c>
      <c r="U58" s="3"/>
      <c r="V58" s="7">
        <f t="shared" si="29"/>
        <v>0</v>
      </c>
      <c r="W58" s="3"/>
      <c r="X58" s="8">
        <f t="shared" si="30"/>
        <v>0</v>
      </c>
      <c r="Y58" s="3"/>
      <c r="Z58" s="7">
        <f t="shared" si="31"/>
        <v>0</v>
      </c>
    </row>
    <row r="59" spans="1:26" s="29" customFormat="1" outlineLevel="1" collapsed="1" x14ac:dyDescent="0.3">
      <c r="A59" s="28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SUM(OSRRefD22_12x_0)</f>
        <v>59516.22</v>
      </c>
      <c r="E59" s="1"/>
      <c r="F59" s="5">
        <f t="shared" si="24"/>
        <v>0</v>
      </c>
      <c r="G59" s="1"/>
      <c r="H59" s="1">
        <f>SUM(OSRRefH22_12x_0)</f>
        <v>59946.810000000005</v>
      </c>
      <c r="I59" s="1"/>
      <c r="J59" s="5">
        <f t="shared" si="25"/>
        <v>0</v>
      </c>
      <c r="K59" s="1"/>
      <c r="L59" s="1">
        <f t="shared" si="26"/>
        <v>-430.59000000000378</v>
      </c>
      <c r="M59" s="1"/>
      <c r="N59" s="5">
        <f t="shared" si="27"/>
        <v>-7.1828676121382228E-3</v>
      </c>
      <c r="O59" s="14"/>
      <c r="P59" s="1">
        <f>SUM(OSRRefP22_12x_0)</f>
        <v>59516.22</v>
      </c>
      <c r="Q59" s="1"/>
      <c r="R59" s="5">
        <f t="shared" si="28"/>
        <v>0</v>
      </c>
      <c r="S59" s="1"/>
      <c r="T59" s="1">
        <f>SUM(OSRRefT22_12x_0)</f>
        <v>59946.810000000005</v>
      </c>
      <c r="U59" s="1"/>
      <c r="V59" s="5">
        <f t="shared" si="29"/>
        <v>0</v>
      </c>
      <c r="W59" s="1"/>
      <c r="X59" s="1">
        <f t="shared" si="30"/>
        <v>-430.59000000000378</v>
      </c>
      <c r="Y59" s="1"/>
      <c r="Z59" s="5">
        <f t="shared" si="31"/>
        <v>-7.1828676121382228E-3</v>
      </c>
    </row>
    <row r="60" spans="1:26" s="24" customFormat="1" hidden="1" outlineLevel="2" x14ac:dyDescent="0.3">
      <c r="A60" s="27"/>
      <c r="B60" s="12" t="str">
        <f>CONCATENATE("          ", "6371", " - ", "COMPUTER SOFTWARE MAINTENANCE")</f>
        <v xml:space="preserve">          6371 - COMPUTER SOFTWARE MAINTENANCE</v>
      </c>
      <c r="C60" s="12"/>
      <c r="D60" s="8">
        <v>56736</v>
      </c>
      <c r="E60" s="3"/>
      <c r="F60" s="7">
        <f t="shared" si="24"/>
        <v>0</v>
      </c>
      <c r="G60" s="3"/>
      <c r="H60" s="8">
        <v>58428.78</v>
      </c>
      <c r="I60" s="3"/>
      <c r="J60" s="7">
        <f t="shared" si="25"/>
        <v>0</v>
      </c>
      <c r="K60" s="3"/>
      <c r="L60" s="8">
        <f t="shared" si="26"/>
        <v>-1692.7799999999988</v>
      </c>
      <c r="M60" s="3"/>
      <c r="N60" s="7">
        <f t="shared" si="27"/>
        <v>-2.8971681421381703E-2</v>
      </c>
      <c r="O60" s="12"/>
      <c r="P60" s="8">
        <v>56736</v>
      </c>
      <c r="Q60" s="3"/>
      <c r="R60" s="7">
        <f t="shared" si="28"/>
        <v>0</v>
      </c>
      <c r="S60" s="3"/>
      <c r="T60" s="8">
        <v>58428.78</v>
      </c>
      <c r="U60" s="3"/>
      <c r="V60" s="7">
        <f t="shared" si="29"/>
        <v>0</v>
      </c>
      <c r="W60" s="3"/>
      <c r="X60" s="8">
        <f t="shared" si="30"/>
        <v>-1692.7799999999988</v>
      </c>
      <c r="Y60" s="3"/>
      <c r="Z60" s="7">
        <f t="shared" si="31"/>
        <v>-2.8971681421381703E-2</v>
      </c>
    </row>
    <row r="61" spans="1:26" s="24" customFormat="1" hidden="1" outlineLevel="2" x14ac:dyDescent="0.3">
      <c r="A61" s="27"/>
      <c r="B61" s="12" t="str">
        <f>CONCATENATE("          ", "6373", " - ", "MAINTENANCE CONTRACTS")</f>
        <v xml:space="preserve">          6373 - MAINTENANCE CONTRACTS</v>
      </c>
      <c r="C61" s="12"/>
      <c r="D61" s="8">
        <v>16.260000000000002</v>
      </c>
      <c r="E61" s="3"/>
      <c r="F61" s="7">
        <f t="shared" si="24"/>
        <v>0</v>
      </c>
      <c r="G61" s="3"/>
      <c r="H61" s="8">
        <v>15.05</v>
      </c>
      <c r="I61" s="3"/>
      <c r="J61" s="7">
        <f t="shared" si="25"/>
        <v>0</v>
      </c>
      <c r="K61" s="3"/>
      <c r="L61" s="8">
        <f t="shared" si="26"/>
        <v>1.2100000000000009</v>
      </c>
      <c r="M61" s="3"/>
      <c r="N61" s="7">
        <f t="shared" si="27"/>
        <v>8.0398671096345561E-2</v>
      </c>
      <c r="O61" s="12"/>
      <c r="P61" s="8">
        <v>16.260000000000002</v>
      </c>
      <c r="Q61" s="3"/>
      <c r="R61" s="7">
        <f t="shared" si="28"/>
        <v>0</v>
      </c>
      <c r="S61" s="3"/>
      <c r="T61" s="8">
        <v>15.05</v>
      </c>
      <c r="U61" s="3"/>
      <c r="V61" s="7">
        <f t="shared" si="29"/>
        <v>0</v>
      </c>
      <c r="W61" s="3"/>
      <c r="X61" s="8">
        <f t="shared" si="30"/>
        <v>1.2100000000000009</v>
      </c>
      <c r="Y61" s="3"/>
      <c r="Z61" s="7">
        <f t="shared" si="31"/>
        <v>8.0398671096345561E-2</v>
      </c>
    </row>
    <row r="62" spans="1:26" s="24" customFormat="1" hidden="1" outlineLevel="2" x14ac:dyDescent="0.3">
      <c r="A62" s="27"/>
      <c r="B62" s="12" t="str">
        <f>CONCATENATE("          ", "6375", " - ", "OUTSIDE REPAIRS &amp; MAINTENANCE")</f>
        <v xml:space="preserve">          6375 - OUTSIDE REPAIRS &amp; MAINTENANCE</v>
      </c>
      <c r="C62" s="12"/>
      <c r="D62" s="8">
        <v>2763.96</v>
      </c>
      <c r="E62" s="3"/>
      <c r="F62" s="7">
        <f t="shared" si="24"/>
        <v>0</v>
      </c>
      <c r="G62" s="3"/>
      <c r="H62" s="8">
        <v>1502.98</v>
      </c>
      <c r="I62" s="3"/>
      <c r="J62" s="7">
        <f t="shared" si="25"/>
        <v>0</v>
      </c>
      <c r="K62" s="3"/>
      <c r="L62" s="8">
        <f t="shared" si="26"/>
        <v>1260.98</v>
      </c>
      <c r="M62" s="3"/>
      <c r="N62" s="7">
        <f t="shared" si="27"/>
        <v>0.83898654672716866</v>
      </c>
      <c r="O62" s="12"/>
      <c r="P62" s="8">
        <v>2763.96</v>
      </c>
      <c r="Q62" s="3"/>
      <c r="R62" s="7">
        <f t="shared" si="28"/>
        <v>0</v>
      </c>
      <c r="S62" s="3"/>
      <c r="T62" s="8">
        <v>1502.98</v>
      </c>
      <c r="U62" s="3"/>
      <c r="V62" s="7">
        <f t="shared" si="29"/>
        <v>0</v>
      </c>
      <c r="W62" s="3"/>
      <c r="X62" s="8">
        <f t="shared" si="30"/>
        <v>1260.98</v>
      </c>
      <c r="Y62" s="3"/>
      <c r="Z62" s="7">
        <f t="shared" si="31"/>
        <v>0.83898654672716866</v>
      </c>
    </row>
    <row r="63" spans="1:26" s="29" customFormat="1" outlineLevel="1" collapsed="1" x14ac:dyDescent="0.3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3850.73</v>
      </c>
      <c r="E63" s="1"/>
      <c r="F63" s="5">
        <f t="shared" ref="F63:F66" si="32">IF(D$12=0,0,D63/D$12)</f>
        <v>0</v>
      </c>
      <c r="G63" s="1"/>
      <c r="H63" s="1">
        <f>SUM(OSRRefH22_13x_0)</f>
        <v>4330.68</v>
      </c>
      <c r="I63" s="1"/>
      <c r="J63" s="5">
        <f t="shared" ref="J63:J66" si="33">IF(H$12=0,0,H63/H$12)</f>
        <v>0</v>
      </c>
      <c r="K63" s="1"/>
      <c r="L63" s="1">
        <f t="shared" ref="L63:L66" si="34">+D63-H63</f>
        <v>-479.95000000000027</v>
      </c>
      <c r="M63" s="1"/>
      <c r="N63" s="5">
        <f t="shared" ref="N63:N66" si="35">IF(H63=0,0,L63/H63)</f>
        <v>-0.11082555164546913</v>
      </c>
      <c r="O63" s="14"/>
      <c r="P63" s="1">
        <f>SUM(OSRRefP22_13x_0)</f>
        <v>3850.73</v>
      </c>
      <c r="Q63" s="1"/>
      <c r="R63" s="5">
        <f t="shared" ref="R63:R66" si="36">IF(P$12=0,0,P63/P$12)</f>
        <v>0</v>
      </c>
      <c r="S63" s="1"/>
      <c r="T63" s="1">
        <f>SUM(OSRRefT22_13x_0)</f>
        <v>4330.68</v>
      </c>
      <c r="U63" s="1"/>
      <c r="V63" s="5">
        <f t="shared" ref="V63:V66" si="37">IF(T$12=0,0,T63/T$12)</f>
        <v>0</v>
      </c>
      <c r="W63" s="1"/>
      <c r="X63" s="1">
        <f t="shared" ref="X63:X66" si="38">+P63-T63</f>
        <v>-479.95000000000027</v>
      </c>
      <c r="Y63" s="1"/>
      <c r="Z63" s="5">
        <f t="shared" ref="Z63:Z66" si="39">IF(T63=0,0,X63/T63)</f>
        <v>-0.11082555164546913</v>
      </c>
    </row>
    <row r="64" spans="1:26" s="24" customFormat="1" hidden="1" outlineLevel="2" x14ac:dyDescent="0.3">
      <c r="A64" s="27"/>
      <c r="B64" s="12" t="str">
        <f>CONCATENATE("          ", "6282", " - ", "JANITORIAL/EXTERMINATOR EXPENS")</f>
        <v xml:space="preserve">          6282 - JANITORIAL/EXTERMINATOR EXPENS</v>
      </c>
      <c r="C64" s="12"/>
      <c r="D64" s="8"/>
      <c r="E64" s="3"/>
      <c r="F64" s="7">
        <f t="shared" si="32"/>
        <v>0</v>
      </c>
      <c r="G64" s="3"/>
      <c r="H64" s="8">
        <v>92.5</v>
      </c>
      <c r="I64" s="3"/>
      <c r="J64" s="7">
        <f t="shared" si="33"/>
        <v>0</v>
      </c>
      <c r="K64" s="3"/>
      <c r="L64" s="8">
        <f t="shared" si="34"/>
        <v>-92.5</v>
      </c>
      <c r="M64" s="3"/>
      <c r="N64" s="7">
        <f t="shared" si="35"/>
        <v>-1</v>
      </c>
      <c r="O64" s="12"/>
      <c r="P64" s="8"/>
      <c r="Q64" s="3"/>
      <c r="R64" s="7">
        <f t="shared" si="36"/>
        <v>0</v>
      </c>
      <c r="S64" s="3"/>
      <c r="T64" s="8">
        <v>92.5</v>
      </c>
      <c r="U64" s="3"/>
      <c r="V64" s="7">
        <f t="shared" si="37"/>
        <v>0</v>
      </c>
      <c r="W64" s="3"/>
      <c r="X64" s="8">
        <f t="shared" si="38"/>
        <v>-92.5</v>
      </c>
      <c r="Y64" s="3"/>
      <c r="Z64" s="7">
        <f t="shared" si="39"/>
        <v>-1</v>
      </c>
    </row>
    <row r="65" spans="1:26" s="24" customFormat="1" hidden="1" outlineLevel="2" x14ac:dyDescent="0.3">
      <c r="A65" s="27"/>
      <c r="B65" s="12" t="str">
        <f>CONCATENATE("          ", "6283", " - ", "PLANT SERVICE")</f>
        <v xml:space="preserve">          6283 - PLANT SERVICE</v>
      </c>
      <c r="C65" s="12"/>
      <c r="D65" s="8"/>
      <c r="E65" s="3"/>
      <c r="F65" s="7">
        <f t="shared" si="32"/>
        <v>0</v>
      </c>
      <c r="G65" s="3"/>
      <c r="H65" s="8">
        <v>130</v>
      </c>
      <c r="I65" s="3"/>
      <c r="J65" s="7">
        <f t="shared" si="33"/>
        <v>0</v>
      </c>
      <c r="K65" s="3"/>
      <c r="L65" s="8">
        <f t="shared" si="34"/>
        <v>-130</v>
      </c>
      <c r="M65" s="3"/>
      <c r="N65" s="7">
        <f t="shared" si="35"/>
        <v>-1</v>
      </c>
      <c r="O65" s="12"/>
      <c r="P65" s="8"/>
      <c r="Q65" s="3"/>
      <c r="R65" s="7">
        <f t="shared" si="36"/>
        <v>0</v>
      </c>
      <c r="S65" s="3"/>
      <c r="T65" s="8">
        <v>130</v>
      </c>
      <c r="U65" s="3"/>
      <c r="V65" s="7">
        <f t="shared" si="37"/>
        <v>0</v>
      </c>
      <c r="W65" s="3"/>
      <c r="X65" s="8">
        <f t="shared" si="38"/>
        <v>-130</v>
      </c>
      <c r="Y65" s="3"/>
      <c r="Z65" s="7">
        <f t="shared" si="39"/>
        <v>-1</v>
      </c>
    </row>
    <row r="66" spans="1:26" s="24" customFormat="1" hidden="1" outlineLevel="2" x14ac:dyDescent="0.3">
      <c r="A66" s="27"/>
      <c r="B66" s="12" t="str">
        <f>CONCATENATE("          ", "6285", " - ", "JANITORIAL SERVICES")</f>
        <v xml:space="preserve">          6285 - JANITORIAL SERVICES</v>
      </c>
      <c r="C66" s="12"/>
      <c r="D66" s="8">
        <v>3850.73</v>
      </c>
      <c r="E66" s="3"/>
      <c r="F66" s="7">
        <f t="shared" si="32"/>
        <v>0</v>
      </c>
      <c r="G66" s="3"/>
      <c r="H66" s="8">
        <v>4108.18</v>
      </c>
      <c r="I66" s="3"/>
      <c r="J66" s="7">
        <f t="shared" si="33"/>
        <v>0</v>
      </c>
      <c r="K66" s="3"/>
      <c r="L66" s="8">
        <f t="shared" si="34"/>
        <v>-257.45000000000027</v>
      </c>
      <c r="M66" s="3"/>
      <c r="N66" s="7">
        <f t="shared" si="35"/>
        <v>-6.2667653316067037E-2</v>
      </c>
      <c r="O66" s="12"/>
      <c r="P66" s="8">
        <v>3850.73</v>
      </c>
      <c r="Q66" s="3"/>
      <c r="R66" s="7">
        <f t="shared" si="36"/>
        <v>0</v>
      </c>
      <c r="S66" s="3"/>
      <c r="T66" s="8">
        <v>4108.18</v>
      </c>
      <c r="U66" s="3"/>
      <c r="V66" s="7">
        <f t="shared" si="37"/>
        <v>0</v>
      </c>
      <c r="W66" s="3"/>
      <c r="X66" s="8">
        <f t="shared" si="38"/>
        <v>-257.45000000000027</v>
      </c>
      <c r="Y66" s="3"/>
      <c r="Z66" s="7">
        <f t="shared" si="39"/>
        <v>-6.2667653316067037E-2</v>
      </c>
    </row>
    <row r="67" spans="1:26" s="29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1080.9100000000001</v>
      </c>
      <c r="E67" s="1"/>
      <c r="F67" s="5">
        <f t="shared" ref="F67:F71" si="40">IF(D$12=0,0,D67/D$12)</f>
        <v>0</v>
      </c>
      <c r="G67" s="1"/>
      <c r="H67" s="1">
        <f>SUM(OSRRefH22_14x_0)</f>
        <v>4985.9900000000007</v>
      </c>
      <c r="I67" s="1"/>
      <c r="J67" s="5">
        <f t="shared" ref="J67:J71" si="41">IF(H$12=0,0,H67/H$12)</f>
        <v>0</v>
      </c>
      <c r="K67" s="1"/>
      <c r="L67" s="1">
        <f t="shared" ref="L67:L71" si="42">+D67-H67</f>
        <v>-3905.0800000000008</v>
      </c>
      <c r="M67" s="1"/>
      <c r="N67" s="5">
        <f t="shared" ref="N67:N71" si="43">IF(H67=0,0,L67/H67)</f>
        <v>-0.78321055597784994</v>
      </c>
      <c r="O67" s="14"/>
      <c r="P67" s="1">
        <f>SUM(OSRRefP22_14x_0)</f>
        <v>1080.9100000000001</v>
      </c>
      <c r="Q67" s="1"/>
      <c r="R67" s="5">
        <f t="shared" ref="R67:R71" si="44">IF(P$12=0,0,P67/P$12)</f>
        <v>0</v>
      </c>
      <c r="S67" s="1"/>
      <c r="T67" s="1">
        <f>SUM(OSRRefT22_14x_0)</f>
        <v>4985.9900000000007</v>
      </c>
      <c r="U67" s="1"/>
      <c r="V67" s="5">
        <f t="shared" ref="V67:V71" si="45">IF(T$12=0,0,T67/T$12)</f>
        <v>0</v>
      </c>
      <c r="W67" s="1"/>
      <c r="X67" s="1">
        <f t="shared" ref="X67:X71" si="46">+P67-T67</f>
        <v>-3905.0800000000008</v>
      </c>
      <c r="Y67" s="1"/>
      <c r="Z67" s="5">
        <f t="shared" ref="Z67:Z71" si="47">IF(T67=0,0,X67/T67)</f>
        <v>-0.78321055597784994</v>
      </c>
    </row>
    <row r="68" spans="1:26" s="24" customFormat="1" hidden="1" outlineLevel="2" x14ac:dyDescent="0.3">
      <c r="A68" s="27"/>
      <c r="B68" s="12" t="str">
        <f>CONCATENATE("          ", "6235", " - ", "COVID-19 EXPENSES")</f>
        <v xml:space="preserve">          6235 - COVID-19 EXPENSES</v>
      </c>
      <c r="C68" s="12"/>
      <c r="D68" s="8">
        <v>272.22000000000003</v>
      </c>
      <c r="E68" s="3"/>
      <c r="F68" s="7">
        <f t="shared" si="40"/>
        <v>0</v>
      </c>
      <c r="G68" s="3"/>
      <c r="H68" s="8">
        <v>4295.5200000000004</v>
      </c>
      <c r="I68" s="3"/>
      <c r="J68" s="7">
        <f t="shared" si="41"/>
        <v>0</v>
      </c>
      <c r="K68" s="3"/>
      <c r="L68" s="8">
        <f t="shared" si="42"/>
        <v>-4023.3</v>
      </c>
      <c r="M68" s="3"/>
      <c r="N68" s="7">
        <f t="shared" si="43"/>
        <v>-0.93662699742988043</v>
      </c>
      <c r="O68" s="12"/>
      <c r="P68" s="8">
        <v>272.22000000000003</v>
      </c>
      <c r="Q68" s="3"/>
      <c r="R68" s="7">
        <f t="shared" si="44"/>
        <v>0</v>
      </c>
      <c r="S68" s="3"/>
      <c r="T68" s="8">
        <v>4295.5200000000004</v>
      </c>
      <c r="U68" s="3"/>
      <c r="V68" s="7">
        <f t="shared" si="45"/>
        <v>0</v>
      </c>
      <c r="W68" s="3"/>
      <c r="X68" s="8">
        <f t="shared" si="46"/>
        <v>-4023.3</v>
      </c>
      <c r="Y68" s="3"/>
      <c r="Z68" s="7">
        <f t="shared" si="47"/>
        <v>-0.93662699742988043</v>
      </c>
    </row>
    <row r="69" spans="1:26" s="24" customFormat="1" hidden="1" outlineLevel="2" x14ac:dyDescent="0.3">
      <c r="A69" s="27"/>
      <c r="B69" s="12" t="str">
        <f>CONCATENATE("          ", "6237", " - ", "JANITORIAL SUPPLIES")</f>
        <v xml:space="preserve">          6237 - JANITORIAL SUPPLIES</v>
      </c>
      <c r="C69" s="12"/>
      <c r="D69" s="8">
        <v>655.97</v>
      </c>
      <c r="E69" s="3"/>
      <c r="F69" s="7">
        <f t="shared" si="40"/>
        <v>0</v>
      </c>
      <c r="G69" s="3"/>
      <c r="H69" s="8"/>
      <c r="I69" s="3"/>
      <c r="J69" s="7">
        <f t="shared" si="41"/>
        <v>0</v>
      </c>
      <c r="K69" s="3"/>
      <c r="L69" s="8">
        <f t="shared" si="42"/>
        <v>655.97</v>
      </c>
      <c r="M69" s="3"/>
      <c r="N69" s="7">
        <f t="shared" si="43"/>
        <v>0</v>
      </c>
      <c r="O69" s="12"/>
      <c r="P69" s="8">
        <v>655.97</v>
      </c>
      <c r="Q69" s="3"/>
      <c r="R69" s="7">
        <f t="shared" si="44"/>
        <v>0</v>
      </c>
      <c r="S69" s="3"/>
      <c r="T69" s="8"/>
      <c r="U69" s="3"/>
      <c r="V69" s="7">
        <f t="shared" si="45"/>
        <v>0</v>
      </c>
      <c r="W69" s="3"/>
      <c r="X69" s="8">
        <f t="shared" si="46"/>
        <v>655.97</v>
      </c>
      <c r="Y69" s="3"/>
      <c r="Z69" s="7">
        <f t="shared" si="47"/>
        <v>0</v>
      </c>
    </row>
    <row r="70" spans="1:26" s="24" customFormat="1" hidden="1" outlineLevel="2" x14ac:dyDescent="0.3">
      <c r="A70" s="27"/>
      <c r="B70" s="12" t="str">
        <f>CONCATENATE("          ", "6241", " - ", "OFFICE EXPENSE")</f>
        <v xml:space="preserve">          6241 - OFFICE EXPENSE</v>
      </c>
      <c r="C70" s="12"/>
      <c r="D70" s="8">
        <v>5.34</v>
      </c>
      <c r="E70" s="3"/>
      <c r="F70" s="7">
        <f t="shared" si="40"/>
        <v>0</v>
      </c>
      <c r="G70" s="3"/>
      <c r="H70" s="8">
        <v>222.37</v>
      </c>
      <c r="I70" s="3"/>
      <c r="J70" s="7">
        <f t="shared" si="41"/>
        <v>0</v>
      </c>
      <c r="K70" s="3"/>
      <c r="L70" s="8">
        <f t="shared" si="42"/>
        <v>-217.03</v>
      </c>
      <c r="M70" s="3"/>
      <c r="N70" s="7">
        <f t="shared" si="43"/>
        <v>-0.97598596933039528</v>
      </c>
      <c r="O70" s="12"/>
      <c r="P70" s="8">
        <v>5.34</v>
      </c>
      <c r="Q70" s="3"/>
      <c r="R70" s="7">
        <f t="shared" si="44"/>
        <v>0</v>
      </c>
      <c r="S70" s="3"/>
      <c r="T70" s="8">
        <v>222.37</v>
      </c>
      <c r="U70" s="3"/>
      <c r="V70" s="7">
        <f t="shared" si="45"/>
        <v>0</v>
      </c>
      <c r="W70" s="3"/>
      <c r="X70" s="8">
        <f t="shared" si="46"/>
        <v>-217.03</v>
      </c>
      <c r="Y70" s="3"/>
      <c r="Z70" s="7">
        <f t="shared" si="47"/>
        <v>-0.97598596933039528</v>
      </c>
    </row>
    <row r="71" spans="1:26" s="24" customFormat="1" hidden="1" outlineLevel="2" x14ac:dyDescent="0.3">
      <c r="A71" s="27"/>
      <c r="B71" s="12" t="str">
        <f>CONCATENATE("          ", "6247", " - ", "STORE SUPPLIES")</f>
        <v xml:space="preserve">          6247 - STORE SUPPLIES</v>
      </c>
      <c r="C71" s="12"/>
      <c r="D71" s="8">
        <v>147.38</v>
      </c>
      <c r="E71" s="3"/>
      <c r="F71" s="7">
        <f t="shared" si="40"/>
        <v>0</v>
      </c>
      <c r="G71" s="3"/>
      <c r="H71" s="8">
        <v>468.1</v>
      </c>
      <c r="I71" s="3"/>
      <c r="J71" s="7">
        <f t="shared" si="41"/>
        <v>0</v>
      </c>
      <c r="K71" s="3"/>
      <c r="L71" s="8">
        <f t="shared" si="42"/>
        <v>-320.72000000000003</v>
      </c>
      <c r="M71" s="3"/>
      <c r="N71" s="7">
        <f t="shared" si="43"/>
        <v>-0.68515274513992741</v>
      </c>
      <c r="O71" s="12"/>
      <c r="P71" s="8">
        <v>147.38</v>
      </c>
      <c r="Q71" s="3"/>
      <c r="R71" s="7">
        <f t="shared" si="44"/>
        <v>0</v>
      </c>
      <c r="S71" s="3"/>
      <c r="T71" s="8">
        <v>468.1</v>
      </c>
      <c r="U71" s="3"/>
      <c r="V71" s="7">
        <f t="shared" si="45"/>
        <v>0</v>
      </c>
      <c r="W71" s="3"/>
      <c r="X71" s="8">
        <f t="shared" si="46"/>
        <v>-320.72000000000003</v>
      </c>
      <c r="Y71" s="3"/>
      <c r="Z71" s="7">
        <f t="shared" si="47"/>
        <v>-0.68515274513992741</v>
      </c>
    </row>
    <row r="72" spans="1:26" s="29" customFormat="1" outlineLevel="1" collapsed="1" x14ac:dyDescent="0.3">
      <c r="A72" s="28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SUM(OSRRefD22_15x_0)</f>
        <v>513.35</v>
      </c>
      <c r="E72" s="1"/>
      <c r="F72" s="5">
        <f t="shared" ref="F72:F78" si="48">IF(D$12=0,0,D72/D$12)</f>
        <v>0</v>
      </c>
      <c r="G72" s="1"/>
      <c r="H72" s="1">
        <f>SUM(OSRRefH22_15x_0)</f>
        <v>567.21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-53.860000000000014</v>
      </c>
      <c r="M72" s="1"/>
      <c r="N72" s="5">
        <f t="shared" ref="N72:N78" si="51">IF(H72=0,0,L72/H72)</f>
        <v>-9.4956012764231962E-2</v>
      </c>
      <c r="O72" s="14"/>
      <c r="P72" s="1">
        <f>SUM(OSRRefP22_15x_0)</f>
        <v>513.35</v>
      </c>
      <c r="Q72" s="1"/>
      <c r="R72" s="5">
        <f t="shared" ref="R72:R78" si="52">IF(P$12=0,0,P72/P$12)</f>
        <v>0</v>
      </c>
      <c r="S72" s="1"/>
      <c r="T72" s="1">
        <f>SUM(OSRRefT22_15x_0)</f>
        <v>567.21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-53.860000000000014</v>
      </c>
      <c r="Y72" s="1"/>
      <c r="Z72" s="5">
        <f t="shared" ref="Z72:Z78" si="55">IF(T72=0,0,X72/T72)</f>
        <v>-9.4956012764231962E-2</v>
      </c>
    </row>
    <row r="73" spans="1:26" s="24" customFormat="1" hidden="1" outlineLevel="2" x14ac:dyDescent="0.3">
      <c r="A73" s="27"/>
      <c r="B73" s="12" t="str">
        <f>CONCATENATE("          ", "6309", " - ", "TELEPHONE")</f>
        <v xml:space="preserve">          6309 - TELEPHONE</v>
      </c>
      <c r="C73" s="12"/>
      <c r="D73" s="8">
        <v>513.35</v>
      </c>
      <c r="E73" s="3"/>
      <c r="F73" s="7">
        <f t="shared" si="48"/>
        <v>0</v>
      </c>
      <c r="G73" s="3"/>
      <c r="H73" s="8">
        <v>567.21</v>
      </c>
      <c r="I73" s="3"/>
      <c r="J73" s="7">
        <f t="shared" si="49"/>
        <v>0</v>
      </c>
      <c r="K73" s="3"/>
      <c r="L73" s="8">
        <f t="shared" si="50"/>
        <v>-53.860000000000014</v>
      </c>
      <c r="M73" s="3"/>
      <c r="N73" s="7">
        <f t="shared" si="51"/>
        <v>-9.4956012764231962E-2</v>
      </c>
      <c r="O73" s="12"/>
      <c r="P73" s="8">
        <v>513.35</v>
      </c>
      <c r="Q73" s="3"/>
      <c r="R73" s="7">
        <f t="shared" si="52"/>
        <v>0</v>
      </c>
      <c r="S73" s="3"/>
      <c r="T73" s="8">
        <v>567.21</v>
      </c>
      <c r="U73" s="3"/>
      <c r="V73" s="7">
        <f t="shared" si="53"/>
        <v>0</v>
      </c>
      <c r="W73" s="3"/>
      <c r="X73" s="8">
        <f t="shared" si="54"/>
        <v>-53.860000000000014</v>
      </c>
      <c r="Y73" s="3"/>
      <c r="Z73" s="7">
        <f t="shared" si="55"/>
        <v>-9.4956012764231962E-2</v>
      </c>
    </row>
    <row r="74" spans="1:26" s="29" customFormat="1" outlineLevel="1" collapsed="1" x14ac:dyDescent="0.3">
      <c r="A74" s="28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SUM(OSRRefD22_16x_0)</f>
        <v>0</v>
      </c>
      <c r="E74" s="1"/>
      <c r="F74" s="5">
        <f t="shared" si="48"/>
        <v>0</v>
      </c>
      <c r="G74" s="1"/>
      <c r="H74" s="1">
        <f>SUM(OSRRefH22_16x_0)</f>
        <v>131.63</v>
      </c>
      <c r="I74" s="1"/>
      <c r="J74" s="5">
        <f t="shared" si="49"/>
        <v>0</v>
      </c>
      <c r="K74" s="1"/>
      <c r="L74" s="1">
        <f t="shared" si="50"/>
        <v>-131.63</v>
      </c>
      <c r="M74" s="1"/>
      <c r="N74" s="5">
        <f t="shared" si="51"/>
        <v>-1</v>
      </c>
      <c r="O74" s="14"/>
      <c r="P74" s="1">
        <f>SUM(OSRRefP22_16x_0)</f>
        <v>0</v>
      </c>
      <c r="Q74" s="1"/>
      <c r="R74" s="5">
        <f t="shared" si="52"/>
        <v>0</v>
      </c>
      <c r="S74" s="1"/>
      <c r="T74" s="1">
        <f>SUM(OSRRefT22_16x_0)</f>
        <v>131.63</v>
      </c>
      <c r="U74" s="1"/>
      <c r="V74" s="5">
        <f t="shared" si="53"/>
        <v>0</v>
      </c>
      <c r="W74" s="1"/>
      <c r="X74" s="1">
        <f t="shared" si="54"/>
        <v>-131.63</v>
      </c>
      <c r="Y74" s="1"/>
      <c r="Z74" s="5">
        <f t="shared" si="55"/>
        <v>-1</v>
      </c>
    </row>
    <row r="75" spans="1:26" s="24" customFormat="1" hidden="1" outlineLevel="2" x14ac:dyDescent="0.3">
      <c r="A75" s="27"/>
      <c r="B75" s="12" t="str">
        <f>CONCATENATE("          ", "6376", " - ", "TRAINING")</f>
        <v xml:space="preserve">          6376 - TRAINING</v>
      </c>
      <c r="C75" s="12"/>
      <c r="D75" s="8"/>
      <c r="E75" s="3"/>
      <c r="F75" s="7">
        <f t="shared" si="48"/>
        <v>0</v>
      </c>
      <c r="G75" s="3"/>
      <c r="H75" s="8">
        <v>131.63</v>
      </c>
      <c r="I75" s="3"/>
      <c r="J75" s="7">
        <f t="shared" si="49"/>
        <v>0</v>
      </c>
      <c r="K75" s="3"/>
      <c r="L75" s="8">
        <f t="shared" si="50"/>
        <v>-131.63</v>
      </c>
      <c r="M75" s="3"/>
      <c r="N75" s="7">
        <f t="shared" si="51"/>
        <v>-1</v>
      </c>
      <c r="O75" s="12"/>
      <c r="P75" s="8"/>
      <c r="Q75" s="3"/>
      <c r="R75" s="7">
        <f t="shared" si="52"/>
        <v>0</v>
      </c>
      <c r="S75" s="3"/>
      <c r="T75" s="8">
        <v>131.63</v>
      </c>
      <c r="U75" s="3"/>
      <c r="V75" s="7">
        <f t="shared" si="53"/>
        <v>0</v>
      </c>
      <c r="W75" s="3"/>
      <c r="X75" s="8">
        <f t="shared" si="54"/>
        <v>-131.63</v>
      </c>
      <c r="Y75" s="3"/>
      <c r="Z75" s="7">
        <f t="shared" si="55"/>
        <v>-1</v>
      </c>
    </row>
    <row r="76" spans="1:26" s="29" customFormat="1" outlineLevel="1" collapsed="1" x14ac:dyDescent="0.3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SUM(OSRRefD22_17x_0)</f>
        <v>495</v>
      </c>
      <c r="E76" s="1"/>
      <c r="F76" s="5">
        <f t="shared" si="48"/>
        <v>0</v>
      </c>
      <c r="G76" s="1"/>
      <c r="H76" s="1">
        <f>SUM(OSRRefH22_17x_0)</f>
        <v>59.89</v>
      </c>
      <c r="I76" s="1"/>
      <c r="J76" s="5">
        <f t="shared" si="49"/>
        <v>0</v>
      </c>
      <c r="K76" s="1"/>
      <c r="L76" s="1">
        <f t="shared" si="50"/>
        <v>435.11</v>
      </c>
      <c r="M76" s="1"/>
      <c r="N76" s="5">
        <f t="shared" si="51"/>
        <v>7.2651527800968445</v>
      </c>
      <c r="O76" s="14"/>
      <c r="P76" s="1">
        <f>SUM(OSRRefP22_17x_0)</f>
        <v>495</v>
      </c>
      <c r="Q76" s="1"/>
      <c r="R76" s="5">
        <f t="shared" si="52"/>
        <v>0</v>
      </c>
      <c r="S76" s="1"/>
      <c r="T76" s="1">
        <f>SUM(OSRRefT22_17x_0)</f>
        <v>59.89</v>
      </c>
      <c r="U76" s="1"/>
      <c r="V76" s="5">
        <f t="shared" si="53"/>
        <v>0</v>
      </c>
      <c r="W76" s="1"/>
      <c r="X76" s="1">
        <f t="shared" si="54"/>
        <v>435.11</v>
      </c>
      <c r="Y76" s="1"/>
      <c r="Z76" s="5">
        <f t="shared" si="55"/>
        <v>7.2651527800968445</v>
      </c>
    </row>
    <row r="77" spans="1:26" s="24" customFormat="1" hidden="1" outlineLevel="2" x14ac:dyDescent="0.3">
      <c r="A77" s="27"/>
      <c r="B77" s="12" t="str">
        <f>CONCATENATE("          ", "6292", " - ", "TRAVEL/CONFERENCE")</f>
        <v xml:space="preserve">          6292 - TRAVEL/CONFERENCE</v>
      </c>
      <c r="C77" s="12"/>
      <c r="D77" s="8">
        <v>495</v>
      </c>
      <c r="E77" s="3"/>
      <c r="F77" s="7">
        <f t="shared" si="48"/>
        <v>0</v>
      </c>
      <c r="G77" s="3"/>
      <c r="H77" s="8"/>
      <c r="I77" s="3"/>
      <c r="J77" s="7">
        <f t="shared" si="49"/>
        <v>0</v>
      </c>
      <c r="K77" s="3"/>
      <c r="L77" s="8">
        <f t="shared" si="50"/>
        <v>495</v>
      </c>
      <c r="M77" s="3"/>
      <c r="N77" s="7">
        <f t="shared" si="51"/>
        <v>0</v>
      </c>
      <c r="O77" s="12"/>
      <c r="P77" s="8">
        <v>495</v>
      </c>
      <c r="Q77" s="3"/>
      <c r="R77" s="7">
        <f t="shared" si="52"/>
        <v>0</v>
      </c>
      <c r="S77" s="3"/>
      <c r="T77" s="8"/>
      <c r="U77" s="3"/>
      <c r="V77" s="7">
        <f t="shared" si="53"/>
        <v>0</v>
      </c>
      <c r="W77" s="3"/>
      <c r="X77" s="8">
        <f t="shared" si="54"/>
        <v>495</v>
      </c>
      <c r="Y77" s="3"/>
      <c r="Z77" s="7">
        <f t="shared" si="55"/>
        <v>0</v>
      </c>
    </row>
    <row r="78" spans="1:26" s="24" customFormat="1" hidden="1" outlineLevel="2" x14ac:dyDescent="0.3">
      <c r="A78" s="27"/>
      <c r="B78" s="12" t="str">
        <f>CONCATENATE("          ", "6298", " - ", "VEHICLE MILEAGE")</f>
        <v xml:space="preserve">          6298 - VEHICLE MILEAGE</v>
      </c>
      <c r="C78" s="12"/>
      <c r="D78" s="8"/>
      <c r="E78" s="3"/>
      <c r="F78" s="7">
        <f t="shared" si="48"/>
        <v>0</v>
      </c>
      <c r="G78" s="3"/>
      <c r="H78" s="8">
        <v>59.89</v>
      </c>
      <c r="I78" s="3"/>
      <c r="J78" s="7">
        <f t="shared" si="49"/>
        <v>0</v>
      </c>
      <c r="K78" s="3"/>
      <c r="L78" s="8">
        <f t="shared" si="50"/>
        <v>-59.89</v>
      </c>
      <c r="M78" s="3"/>
      <c r="N78" s="7">
        <f t="shared" si="51"/>
        <v>-1</v>
      </c>
      <c r="O78" s="12"/>
      <c r="P78" s="8"/>
      <c r="Q78" s="3"/>
      <c r="R78" s="7">
        <f t="shared" si="52"/>
        <v>0</v>
      </c>
      <c r="S78" s="3"/>
      <c r="T78" s="8">
        <v>59.89</v>
      </c>
      <c r="U78" s="3"/>
      <c r="V78" s="7">
        <f t="shared" si="53"/>
        <v>0</v>
      </c>
      <c r="W78" s="3"/>
      <c r="X78" s="8">
        <f t="shared" si="54"/>
        <v>-59.89</v>
      </c>
      <c r="Y78" s="3"/>
      <c r="Z78" s="7">
        <f t="shared" si="55"/>
        <v>-1</v>
      </c>
    </row>
    <row r="79" spans="1:26" s="29" customFormat="1" outlineLevel="1" collapsed="1" x14ac:dyDescent="0.3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SUM(OSRRefD22_18x_0)</f>
        <v>6000</v>
      </c>
      <c r="E79" s="1"/>
      <c r="F79" s="5">
        <f t="shared" ref="F79:F80" si="56">IF(D$12=0,0,D79/D$12)</f>
        <v>0</v>
      </c>
      <c r="G79" s="1"/>
      <c r="H79" s="1">
        <f>SUM(OSRRefH22_18x_0)</f>
        <v>6133</v>
      </c>
      <c r="I79" s="1"/>
      <c r="J79" s="5">
        <f t="shared" ref="J79:J80" si="57">IF(H$12=0,0,H79/H$12)</f>
        <v>0</v>
      </c>
      <c r="K79" s="1"/>
      <c r="L79" s="1">
        <f t="shared" ref="L79:L80" si="58">+D79-H79</f>
        <v>-133</v>
      </c>
      <c r="M79" s="1"/>
      <c r="N79" s="5">
        <f t="shared" ref="N79:N80" si="59">IF(H79=0,0,L79/H79)</f>
        <v>-2.1685961193543126E-2</v>
      </c>
      <c r="O79" s="14"/>
      <c r="P79" s="1">
        <f>SUM(OSRRefP22_18x_0)</f>
        <v>6000</v>
      </c>
      <c r="Q79" s="1"/>
      <c r="R79" s="5">
        <f t="shared" ref="R79:R80" si="60">IF(P$12=0,0,P79/P$12)</f>
        <v>0</v>
      </c>
      <c r="S79" s="1"/>
      <c r="T79" s="1">
        <f>SUM(OSRRefT22_18x_0)</f>
        <v>6133</v>
      </c>
      <c r="U79" s="1"/>
      <c r="V79" s="5">
        <f t="shared" ref="V79:V80" si="61">IF(T$12=0,0,T79/T$12)</f>
        <v>0</v>
      </c>
      <c r="W79" s="1"/>
      <c r="X79" s="1">
        <f t="shared" ref="X79:X80" si="62">+P79-T79</f>
        <v>-133</v>
      </c>
      <c r="Y79" s="1"/>
      <c r="Z79" s="5">
        <f t="shared" ref="Z79:Z80" si="63">IF(T79=0,0,X79/T79)</f>
        <v>-2.1685961193543126E-2</v>
      </c>
    </row>
    <row r="80" spans="1:26" s="24" customFormat="1" hidden="1" outlineLevel="2" x14ac:dyDescent="0.3">
      <c r="A80" s="27"/>
      <c r="B80" s="12" t="str">
        <f>CONCATENATE("          ", "6274", " - ", "UTILITIES")</f>
        <v xml:space="preserve">          6274 - UTILITIES</v>
      </c>
      <c r="C80" s="12"/>
      <c r="D80" s="8">
        <v>6000</v>
      </c>
      <c r="E80" s="3"/>
      <c r="F80" s="7">
        <f t="shared" si="56"/>
        <v>0</v>
      </c>
      <c r="G80" s="3"/>
      <c r="H80" s="8">
        <v>6133</v>
      </c>
      <c r="I80" s="3"/>
      <c r="J80" s="7">
        <f t="shared" si="57"/>
        <v>0</v>
      </c>
      <c r="K80" s="3"/>
      <c r="L80" s="8">
        <f t="shared" si="58"/>
        <v>-133</v>
      </c>
      <c r="M80" s="3"/>
      <c r="N80" s="7">
        <f t="shared" si="59"/>
        <v>-2.1685961193543126E-2</v>
      </c>
      <c r="O80" s="12"/>
      <c r="P80" s="8">
        <v>6000</v>
      </c>
      <c r="Q80" s="3"/>
      <c r="R80" s="7">
        <f t="shared" si="60"/>
        <v>0</v>
      </c>
      <c r="S80" s="3"/>
      <c r="T80" s="8">
        <v>6133</v>
      </c>
      <c r="U80" s="3"/>
      <c r="V80" s="7">
        <f t="shared" si="61"/>
        <v>0</v>
      </c>
      <c r="W80" s="3"/>
      <c r="X80" s="8">
        <f t="shared" si="62"/>
        <v>-133</v>
      </c>
      <c r="Y80" s="3"/>
      <c r="Z80" s="7">
        <f t="shared" si="63"/>
        <v>-2.1685961193543126E-2</v>
      </c>
    </row>
    <row r="81" spans="1:26" s="53" customFormat="1" x14ac:dyDescent="0.3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3">
      <c r="A82" s="10"/>
      <c r="B82" s="25" t="s">
        <v>292</v>
      </c>
      <c r="C82" s="10"/>
      <c r="D82" s="4">
        <f>SUM(OSRRefD25x_0)</f>
        <v>3926.89</v>
      </c>
      <c r="E82" s="4"/>
      <c r="F82" s="11">
        <f t="shared" ref="F82:F83" si="64">IF(D$12=0,0,D82/D$12)</f>
        <v>0</v>
      </c>
      <c r="G82" s="4"/>
      <c r="H82" s="4">
        <f>SUM(OSRRefH25x_0)</f>
        <v>17025.310000000001</v>
      </c>
      <c r="I82" s="4"/>
      <c r="J82" s="11">
        <f t="shared" ref="J82:J83" si="65">IF(H$12=0,0,H82/H$12)</f>
        <v>0</v>
      </c>
      <c r="K82" s="4"/>
      <c r="L82" s="4">
        <f t="shared" ref="L82:L83" si="66">+D82-H82</f>
        <v>-13098.420000000002</v>
      </c>
      <c r="M82" s="4"/>
      <c r="N82" s="11">
        <f t="shared" ref="N82:N83" si="67">IF(H82=0,0,L82/H82)</f>
        <v>-0.76934986793192028</v>
      </c>
      <c r="O82" s="10"/>
      <c r="P82" s="4">
        <f>SUM(OSRRefP25x_0)</f>
        <v>3926.89</v>
      </c>
      <c r="Q82" s="4"/>
      <c r="R82" s="11">
        <f t="shared" ref="R82:R83" si="68">IF(P$12=0,0,P82/P$12)</f>
        <v>0</v>
      </c>
      <c r="S82" s="4"/>
      <c r="T82" s="4">
        <f>SUM(OSRRefT25x_0)</f>
        <v>17025.310000000001</v>
      </c>
      <c r="U82" s="4"/>
      <c r="V82" s="11">
        <f t="shared" ref="V82:V83" si="69">IF(T$12=0,0,T82/T$12)</f>
        <v>0</v>
      </c>
      <c r="W82" s="4"/>
      <c r="X82" s="4">
        <f t="shared" ref="X82:X83" si="70">+P82-T82</f>
        <v>-13098.420000000002</v>
      </c>
      <c r="Y82" s="4"/>
      <c r="Z82" s="11">
        <f t="shared" ref="Z82:Z83" si="71">IF(T82=0,0,X82/T82)</f>
        <v>-0.76934986793192028</v>
      </c>
    </row>
    <row r="83" spans="1:26" s="24" customFormat="1" hidden="1" outlineLevel="1" x14ac:dyDescent="0.3">
      <c r="A83" s="50"/>
      <c r="B83" s="12" t="str">
        <f>CONCATENATE("          ", "9150", " - ", "MISC. INCOME")</f>
        <v xml:space="preserve">          9150 - MISC. INCOME</v>
      </c>
      <c r="C83" s="12"/>
      <c r="D83" s="3">
        <f>--3926.89</f>
        <v>3926.89</v>
      </c>
      <c r="E83" s="3"/>
      <c r="F83" s="22">
        <f t="shared" si="64"/>
        <v>0</v>
      </c>
      <c r="G83" s="3"/>
      <c r="H83" s="3">
        <f>--17025.31</f>
        <v>17025.310000000001</v>
      </c>
      <c r="I83" s="3"/>
      <c r="J83" s="22">
        <f t="shared" si="65"/>
        <v>0</v>
      </c>
      <c r="K83" s="3"/>
      <c r="L83" s="3">
        <f t="shared" si="66"/>
        <v>-13098.420000000002</v>
      </c>
      <c r="M83" s="3"/>
      <c r="N83" s="22">
        <f t="shared" si="67"/>
        <v>-0.76934986793192028</v>
      </c>
      <c r="O83" s="12"/>
      <c r="P83" s="3">
        <f>--3926.89</f>
        <v>3926.89</v>
      </c>
      <c r="Q83" s="3"/>
      <c r="R83" s="22">
        <f t="shared" si="68"/>
        <v>0</v>
      </c>
      <c r="S83" s="3"/>
      <c r="T83" s="3">
        <f>--17025.31</f>
        <v>17025.310000000001</v>
      </c>
      <c r="U83" s="3"/>
      <c r="V83" s="22">
        <f t="shared" si="69"/>
        <v>0</v>
      </c>
      <c r="W83" s="3"/>
      <c r="X83" s="3">
        <f t="shared" si="70"/>
        <v>-13098.420000000002</v>
      </c>
      <c r="Y83" s="3"/>
      <c r="Z83" s="22">
        <f t="shared" si="71"/>
        <v>-0.76934986793192028</v>
      </c>
    </row>
    <row r="84" spans="1:26" x14ac:dyDescent="0.3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x14ac:dyDescent="0.3">
      <c r="A85" s="10"/>
      <c r="B85" s="26" t="s">
        <v>276</v>
      </c>
      <c r="C85" s="26"/>
      <c r="D85" s="20">
        <f>+D16-D18+D82</f>
        <v>-175748.03000000003</v>
      </c>
      <c r="E85" s="13"/>
      <c r="F85" s="21">
        <f>IF(D$12=0,0,D85/D$12)</f>
        <v>0</v>
      </c>
      <c r="G85" s="13"/>
      <c r="H85" s="20">
        <f>+H16-H18+H82</f>
        <v>-148391.38999999998</v>
      </c>
      <c r="I85" s="13"/>
      <c r="J85" s="21">
        <f>IF(H$12=0,0,H85/H$12)</f>
        <v>0</v>
      </c>
      <c r="K85" s="16"/>
      <c r="L85" s="20">
        <f>+D85-H85</f>
        <v>-27356.640000000043</v>
      </c>
      <c r="M85" s="16"/>
      <c r="N85" s="21">
        <f>IF(H85=0,0,L85/H85)</f>
        <v>0.18435463135698132</v>
      </c>
      <c r="O85" s="25"/>
      <c r="P85" s="20">
        <f>+P16-P18+P82</f>
        <v>-175748.03000000003</v>
      </c>
      <c r="Q85" s="13"/>
      <c r="R85" s="21">
        <f>IF(P$12=0,0,P85/P$12)</f>
        <v>0</v>
      </c>
      <c r="S85" s="13"/>
      <c r="T85" s="20">
        <f>+T16-T18+T82</f>
        <v>-148391.38999999998</v>
      </c>
      <c r="U85" s="13"/>
      <c r="V85" s="21">
        <f>IF(T$12=0,0,T85/T$12)</f>
        <v>0</v>
      </c>
      <c r="W85" s="16"/>
      <c r="X85" s="20">
        <f>+P85-T85</f>
        <v>-27356.640000000043</v>
      </c>
      <c r="Y85" s="16"/>
      <c r="Z85" s="21">
        <f>IF(T85=0,0,X85/T85)</f>
        <v>0.18435463135698132</v>
      </c>
    </row>
    <row r="86" spans="1:26" x14ac:dyDescent="0.3">
      <c r="A86" s="9"/>
      <c r="B86" s="10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x14ac:dyDescent="0.3">
      <c r="A87" s="51"/>
      <c r="B87" s="10" t="s">
        <v>127</v>
      </c>
      <c r="C87" s="10"/>
      <c r="D87" s="4"/>
      <c r="E87" s="4"/>
      <c r="F87" s="11">
        <f>IF(D$12=0,0,D87/D$12)</f>
        <v>0</v>
      </c>
      <c r="G87" s="4"/>
      <c r="H87" s="4"/>
      <c r="I87" s="4"/>
      <c r="J87" s="11">
        <f>IF(H$12=0,0,H87/H$12)</f>
        <v>0</v>
      </c>
      <c r="K87" s="4"/>
      <c r="L87" s="4">
        <f>+D87-H87</f>
        <v>0</v>
      </c>
      <c r="M87" s="4"/>
      <c r="N87" s="11">
        <f>IF(H87=0,0,L87/H87)</f>
        <v>0</v>
      </c>
      <c r="O87" s="10"/>
      <c r="P87" s="4"/>
      <c r="Q87" s="4"/>
      <c r="R87" s="11">
        <f>IF(P$12=0,0,P87/P$12)</f>
        <v>0</v>
      </c>
      <c r="S87" s="4"/>
      <c r="T87" s="4"/>
      <c r="U87" s="4"/>
      <c r="V87" s="11">
        <f>IF(T$12=0,0,T87/T$12)</f>
        <v>0</v>
      </c>
      <c r="W87" s="4"/>
      <c r="X87" s="4">
        <f>+P87-T87</f>
        <v>0</v>
      </c>
      <c r="Y87" s="4"/>
      <c r="Z87" s="11">
        <f>IF(T87=0,0,X87/T87)</f>
        <v>0</v>
      </c>
    </row>
    <row r="88" spans="1:26" x14ac:dyDescent="0.3">
      <c r="A88" s="9"/>
      <c r="B88" s="10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10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ht="15" thickBot="1" x14ac:dyDescent="0.35">
      <c r="A89" s="10"/>
      <c r="B89" s="26" t="s">
        <v>125</v>
      </c>
      <c r="C89" s="26"/>
      <c r="D89" s="36">
        <f>+D85-D87</f>
        <v>-175748.03000000003</v>
      </c>
      <c r="E89" s="13"/>
      <c r="F89" s="34">
        <f>IF(D$12=0,0,D89/D$12)</f>
        <v>0</v>
      </c>
      <c r="G89" s="13"/>
      <c r="H89" s="36">
        <f>+H85-H87</f>
        <v>-148391.38999999998</v>
      </c>
      <c r="I89" s="13"/>
      <c r="J89" s="34">
        <f>IF(H$12=0,0,H89/H$12)</f>
        <v>0</v>
      </c>
      <c r="K89" s="16"/>
      <c r="L89" s="36">
        <f>D89-H89</f>
        <v>-27356.640000000043</v>
      </c>
      <c r="M89" s="16"/>
      <c r="N89" s="34">
        <f>IF(H89=0,0,L89/H89)</f>
        <v>0.18435463135698132</v>
      </c>
      <c r="O89" s="25"/>
      <c r="P89" s="36">
        <f>+P85-P87</f>
        <v>-175748.03000000003</v>
      </c>
      <c r="Q89" s="13"/>
      <c r="R89" s="34">
        <f>IF(P$12=0,0,P89/P$12)</f>
        <v>0</v>
      </c>
      <c r="S89" s="13"/>
      <c r="T89" s="36">
        <f>+T85-T87</f>
        <v>-148391.38999999998</v>
      </c>
      <c r="U89" s="13"/>
      <c r="V89" s="34">
        <f>IF(T$12=0,0,T89/T$12)</f>
        <v>0</v>
      </c>
      <c r="W89" s="16"/>
      <c r="X89" s="36">
        <f>P89-T89</f>
        <v>-27356.640000000043</v>
      </c>
      <c r="Y89" s="16"/>
      <c r="Z89" s="34">
        <f>IF(T89=0,0,X89/T89)</f>
        <v>0.18435463135698132</v>
      </c>
    </row>
    <row r="90" spans="1:26" ht="15" thickTop="1" x14ac:dyDescent="0.3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" thickBot="1" x14ac:dyDescent="0.35">
      <c r="A92" s="10"/>
      <c r="B92" s="26" t="s">
        <v>293</v>
      </c>
      <c r="C92" s="26"/>
      <c r="D92" s="31">
        <f>SUM(D89:D91)</f>
        <v>-175748.03000000003</v>
      </c>
      <c r="E92" s="13"/>
      <c r="F92" s="33">
        <f>IF(D$12=0,0,D92/D$12)</f>
        <v>0</v>
      </c>
      <c r="G92" s="13"/>
      <c r="H92" s="31">
        <f>SUM(H89:H91)</f>
        <v>-148391.38999999998</v>
      </c>
      <c r="I92" s="13"/>
      <c r="J92" s="33">
        <f>IF(H$12=0,0,H92/H$12)</f>
        <v>0</v>
      </c>
      <c r="K92" s="16"/>
      <c r="L92" s="31">
        <f>+D92-H92</f>
        <v>-27356.640000000043</v>
      </c>
      <c r="M92" s="16"/>
      <c r="N92" s="33">
        <f>IF(H92=0,0,L92/H92)</f>
        <v>0.18435463135698132</v>
      </c>
      <c r="O92" s="25"/>
      <c r="P92" s="31">
        <f>SUM(P89:P91)</f>
        <v>-175748.03000000003</v>
      </c>
      <c r="Q92" s="13"/>
      <c r="R92" s="33">
        <f>IF(P$12=0,0,P92/P$12)</f>
        <v>0</v>
      </c>
      <c r="S92" s="13"/>
      <c r="T92" s="31">
        <f>SUM(T89:T91)</f>
        <v>-148391.38999999998</v>
      </c>
      <c r="U92" s="13"/>
      <c r="V92" s="33">
        <f>IF(T$12=0,0,T92/T$12)</f>
        <v>0</v>
      </c>
      <c r="W92" s="16"/>
      <c r="X92" s="31">
        <f>+P92-T92</f>
        <v>-27356.640000000043</v>
      </c>
      <c r="Y92" s="16"/>
      <c r="Z92" s="33">
        <f>IF(T92=0,0,X92/T92)</f>
        <v>0.18435463135698132</v>
      </c>
    </row>
    <row r="93" spans="1:26" ht="15" thickTop="1" x14ac:dyDescent="0.3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59">
        <v>44462.666945868055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7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61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3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","306", " - ", "Warehouse")</f>
        <v>Department 306 - Warehouse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0</v>
      </c>
      <c r="E18" s="19"/>
      <c r="F18" s="35">
        <f t="shared" ref="F18:F23" si="0">IF(D$12=0,0,D18/D$12)</f>
        <v>0</v>
      </c>
      <c r="G18" s="19"/>
      <c r="H18" s="19">
        <f>SUM(OSRRefH22x_0)</f>
        <v>0.23</v>
      </c>
      <c r="I18" s="19"/>
      <c r="J18" s="35">
        <f t="shared" ref="J18:J23" si="1">IF(H$12=0,0,H18/H$12)</f>
        <v>0</v>
      </c>
      <c r="K18" s="4"/>
      <c r="L18" s="19">
        <f t="shared" ref="L18:L23" si="2">+D18-H18</f>
        <v>-0.23</v>
      </c>
      <c r="M18" s="4"/>
      <c r="N18" s="35">
        <f t="shared" ref="N18:N23" si="3">IF(H18=0,0,L18/H18)</f>
        <v>-1</v>
      </c>
      <c r="O18" s="10"/>
      <c r="P18" s="19">
        <f>SUM(OSRRefP22x_0)</f>
        <v>0</v>
      </c>
      <c r="Q18" s="19"/>
      <c r="R18" s="35">
        <f t="shared" ref="R18:R23" si="4">IF(P$12=0,0,P18/P$12)</f>
        <v>0</v>
      </c>
      <c r="S18" s="19"/>
      <c r="T18" s="19">
        <f>SUM(OSRRefT22x_0)</f>
        <v>0.23</v>
      </c>
      <c r="U18" s="19"/>
      <c r="V18" s="35">
        <f t="shared" ref="V18:V23" si="5">IF(T$12=0,0,T18/T$12)</f>
        <v>0</v>
      </c>
      <c r="W18" s="4"/>
      <c r="X18" s="19">
        <f t="shared" ref="X18:X23" si="6">+P18-T18</f>
        <v>-0.23</v>
      </c>
      <c r="Y18" s="4"/>
      <c r="Z18" s="35">
        <f t="shared" ref="Z18:Z23" si="7">IF(T18=0,0,X18/T18)</f>
        <v>-1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>
        <v>401.9</v>
      </c>
      <c r="I20" s="3"/>
      <c r="J20" s="7">
        <f t="shared" si="1"/>
        <v>0</v>
      </c>
      <c r="K20" s="3"/>
      <c r="L20" s="8">
        <f t="shared" si="2"/>
        <v>-401.9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401.9</v>
      </c>
      <c r="U20" s="3"/>
      <c r="V20" s="7">
        <f t="shared" si="5"/>
        <v>0</v>
      </c>
      <c r="W20" s="3"/>
      <c r="X20" s="8">
        <f t="shared" si="6"/>
        <v>-401.9</v>
      </c>
      <c r="Y20" s="3"/>
      <c r="Z20" s="7">
        <f t="shared" si="7"/>
        <v>-1</v>
      </c>
    </row>
    <row r="21" spans="1:26" s="24" customFormat="1" hidden="1" outlineLevel="2" x14ac:dyDescent="0.3">
      <c r="A21" s="27"/>
      <c r="B21" s="12" t="str">
        <f>CONCATENATE("          ", "6113", " - ", 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>
        <v>0</v>
      </c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0</v>
      </c>
      <c r="U21" s="3"/>
      <c r="V21" s="7">
        <f t="shared" si="5"/>
        <v>0</v>
      </c>
      <c r="W21" s="3"/>
      <c r="X21" s="8">
        <f t="shared" si="6"/>
        <v>0</v>
      </c>
      <c r="Y21" s="3"/>
      <c r="Z21" s="7">
        <f t="shared" si="7"/>
        <v>0</v>
      </c>
    </row>
    <row r="22" spans="1:26" s="24" customFormat="1" hidden="1" outlineLevel="2" x14ac:dyDescent="0.3">
      <c r="A22" s="27"/>
      <c r="B22" s="12" t="str">
        <f>CONCATENATE("          ", "6115", " - ", 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24" customFormat="1" hidden="1" outlineLevel="2" x14ac:dyDescent="0.3">
      <c r="A23" s="27"/>
      <c r="B23" s="12" t="str">
        <f>CONCATENATE("          ", "6116", " - ", "EDUCATIONAL BENEFITS")</f>
        <v xml:space="preserve">          6116 - EDUCATIONAL BENEFITS</v>
      </c>
      <c r="C23" s="12"/>
      <c r="D23" s="8"/>
      <c r="E23" s="3"/>
      <c r="F23" s="7">
        <f t="shared" si="0"/>
        <v>0</v>
      </c>
      <c r="G23" s="3"/>
      <c r="H23" s="8">
        <v>-401.9</v>
      </c>
      <c r="I23" s="3"/>
      <c r="J23" s="7">
        <f t="shared" si="1"/>
        <v>0</v>
      </c>
      <c r="K23" s="3"/>
      <c r="L23" s="8">
        <f t="shared" si="2"/>
        <v>401.9</v>
      </c>
      <c r="M23" s="3"/>
      <c r="N23" s="7">
        <f t="shared" si="3"/>
        <v>-1</v>
      </c>
      <c r="O23" s="12"/>
      <c r="P23" s="8"/>
      <c r="Q23" s="3"/>
      <c r="R23" s="7">
        <f t="shared" si="4"/>
        <v>0</v>
      </c>
      <c r="S23" s="3"/>
      <c r="T23" s="8">
        <v>-401.9</v>
      </c>
      <c r="U23" s="3"/>
      <c r="V23" s="7">
        <f t="shared" si="5"/>
        <v>0</v>
      </c>
      <c r="W23" s="3"/>
      <c r="X23" s="8">
        <f t="shared" si="6"/>
        <v>401.9</v>
      </c>
      <c r="Y23" s="3"/>
      <c r="Z23" s="7">
        <f t="shared" si="7"/>
        <v>-1</v>
      </c>
    </row>
    <row r="24" spans="1:26" s="29" customFormat="1" outlineLevel="1" collapsed="1" x14ac:dyDescent="0.3">
      <c r="A24" s="28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ref="F24:F26" si="8">IF(D$12=0,0,D24/D$12)</f>
        <v>0</v>
      </c>
      <c r="G24" s="1"/>
      <c r="H24" s="1">
        <f>SUM(OSRRefH22_1x_0)</f>
        <v>0.23</v>
      </c>
      <c r="I24" s="1"/>
      <c r="J24" s="5">
        <f t="shared" ref="J24:J26" si="9">IF(H$12=0,0,H24/H$12)</f>
        <v>0</v>
      </c>
      <c r="K24" s="1"/>
      <c r="L24" s="1">
        <f t="shared" ref="L24:L26" si="10">+D24-H24</f>
        <v>-0.23</v>
      </c>
      <c r="M24" s="1"/>
      <c r="N24" s="5">
        <f t="shared" ref="N24:N26" si="11">IF(H24=0,0,L24/H24)</f>
        <v>-1</v>
      </c>
      <c r="O24" s="14"/>
      <c r="P24" s="1">
        <f>SUM(OSRRefP22_1x_0)</f>
        <v>0</v>
      </c>
      <c r="Q24" s="1"/>
      <c r="R24" s="5">
        <f t="shared" ref="R24:R26" si="12">IF(P$12=0,0,P24/P$12)</f>
        <v>0</v>
      </c>
      <c r="S24" s="1"/>
      <c r="T24" s="1">
        <f>SUM(OSRRefT22_1x_0)</f>
        <v>0.23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-0.23</v>
      </c>
      <c r="Y24" s="1"/>
      <c r="Z24" s="5">
        <f t="shared" ref="Z24:Z26" si="15">IF(T24=0,0,X24/T24)</f>
        <v>-1</v>
      </c>
    </row>
    <row r="25" spans="1:26" s="24" customFormat="1" hidden="1" outlineLevel="2" x14ac:dyDescent="0.3">
      <c r="A25" s="27"/>
      <c r="B25" s="12" t="str">
        <f>CONCATENATE("          ", "6004", " - ", "STAFF HOURLY")</f>
        <v xml:space="preserve">          6004 - STAFF HOURLY</v>
      </c>
      <c r="C25" s="12"/>
      <c r="D25" s="8"/>
      <c r="E25" s="3"/>
      <c r="F25" s="7">
        <f t="shared" si="8"/>
        <v>0</v>
      </c>
      <c r="G25" s="3"/>
      <c r="H25" s="8">
        <v>0.23</v>
      </c>
      <c r="I25" s="3"/>
      <c r="J25" s="7">
        <f t="shared" si="9"/>
        <v>0</v>
      </c>
      <c r="K25" s="3"/>
      <c r="L25" s="8">
        <f t="shared" si="10"/>
        <v>-0.23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0.23</v>
      </c>
      <c r="U25" s="3"/>
      <c r="V25" s="7">
        <f t="shared" si="13"/>
        <v>0</v>
      </c>
      <c r="W25" s="3"/>
      <c r="X25" s="8">
        <f t="shared" si="14"/>
        <v>-0.23</v>
      </c>
      <c r="Y25" s="3"/>
      <c r="Z25" s="7">
        <f t="shared" si="15"/>
        <v>-1</v>
      </c>
    </row>
    <row r="26" spans="1:26" s="24" customFormat="1" hidden="1" outlineLevel="2" x14ac:dyDescent="0.3">
      <c r="A26" s="27"/>
      <c r="B26" s="12" t="str">
        <f>CONCATENATE("          ", "6005", " - ", "TEMPORARY WAGES-HOURLY")</f>
        <v xml:space="preserve">          6005 - TEMPORARY WAGES-HOURLY</v>
      </c>
      <c r="C26" s="12"/>
      <c r="D26" s="8"/>
      <c r="E26" s="3"/>
      <c r="F26" s="7">
        <f t="shared" si="8"/>
        <v>0</v>
      </c>
      <c r="G26" s="3"/>
      <c r="H26" s="8">
        <v>0</v>
      </c>
      <c r="I26" s="3"/>
      <c r="J26" s="7">
        <f t="shared" si="9"/>
        <v>0</v>
      </c>
      <c r="K26" s="3"/>
      <c r="L26" s="8">
        <f t="shared" si="10"/>
        <v>0</v>
      </c>
      <c r="M26" s="3"/>
      <c r="N26" s="7">
        <f t="shared" si="11"/>
        <v>0</v>
      </c>
      <c r="O26" s="12"/>
      <c r="P26" s="8"/>
      <c r="Q26" s="3"/>
      <c r="R26" s="7">
        <f t="shared" si="12"/>
        <v>0</v>
      </c>
      <c r="S26" s="3"/>
      <c r="T26" s="8">
        <v>0</v>
      </c>
      <c r="U26" s="3"/>
      <c r="V26" s="7">
        <f t="shared" si="13"/>
        <v>0</v>
      </c>
      <c r="W26" s="3"/>
      <c r="X26" s="8">
        <f t="shared" si="14"/>
        <v>0</v>
      </c>
      <c r="Y26" s="3"/>
      <c r="Z26" s="7">
        <f t="shared" si="15"/>
        <v>0</v>
      </c>
    </row>
    <row r="27" spans="1:26" s="29" customFormat="1" outlineLevel="1" collapsed="1" x14ac:dyDescent="0.3">
      <c r="A27" s="28"/>
      <c r="B27" s="14" t="str">
        <f>CONCATENATE("     ","Freight out/Postage                               ")</f>
        <v xml:space="preserve">     Freight out/Postage                               </v>
      </c>
      <c r="C27" s="14"/>
      <c r="D27" s="1">
        <f>SUM(OSRRefD22_2x_0)</f>
        <v>0</v>
      </c>
      <c r="E27" s="1"/>
      <c r="F27" s="5">
        <f t="shared" ref="F27:F30" si="16">IF(D$12=0,0,D27/D$12)</f>
        <v>0</v>
      </c>
      <c r="G27" s="1"/>
      <c r="H27" s="1">
        <f>SUM(OSRRefH22_2x_0)</f>
        <v>0</v>
      </c>
      <c r="I27" s="1"/>
      <c r="J27" s="5">
        <f t="shared" ref="J27:J30" si="17">IF(H$12=0,0,H27/H$12)</f>
        <v>0</v>
      </c>
      <c r="K27" s="1"/>
      <c r="L27" s="1">
        <f t="shared" ref="L27:L30" si="18">+D27-H27</f>
        <v>0</v>
      </c>
      <c r="M27" s="1"/>
      <c r="N27" s="5">
        <f t="shared" ref="N27:N30" si="19">IF(H27=0,0,L27/H27)</f>
        <v>0</v>
      </c>
      <c r="O27" s="14"/>
      <c r="P27" s="1">
        <f>SUM(OSRRefP22_2x_0)</f>
        <v>0</v>
      </c>
      <c r="Q27" s="1"/>
      <c r="R27" s="5">
        <f t="shared" ref="R27:R30" si="20">IF(P$12=0,0,P27/P$12)</f>
        <v>0</v>
      </c>
      <c r="S27" s="1"/>
      <c r="T27" s="1">
        <f>SUM(OSRRefT22_2x_0)</f>
        <v>0</v>
      </c>
      <c r="U27" s="1"/>
      <c r="V27" s="5">
        <f t="shared" ref="V27:V30" si="21">IF(T$12=0,0,T27/T$12)</f>
        <v>0</v>
      </c>
      <c r="W27" s="1"/>
      <c r="X27" s="1">
        <f t="shared" ref="X27:X30" si="22">+P27-T27</f>
        <v>0</v>
      </c>
      <c r="Y27" s="1"/>
      <c r="Z27" s="5">
        <f t="shared" ref="Z27:Z30" si="23">IF(T27=0,0,X27/T27)</f>
        <v>0</v>
      </c>
    </row>
    <row r="28" spans="1:26" s="24" customFormat="1" hidden="1" outlineLevel="2" x14ac:dyDescent="0.3">
      <c r="A28" s="27"/>
      <c r="B28" s="12" t="str">
        <f>CONCATENATE("          ", "6307", " - ", "POSTAGE")</f>
        <v xml:space="preserve">          6307 - POSTAGE</v>
      </c>
      <c r="C28" s="12"/>
      <c r="D28" s="8"/>
      <c r="E28" s="3"/>
      <c r="F28" s="7">
        <f t="shared" si="16"/>
        <v>0</v>
      </c>
      <c r="G28" s="3"/>
      <c r="H28" s="8">
        <v>0</v>
      </c>
      <c r="I28" s="3"/>
      <c r="J28" s="7">
        <f t="shared" si="17"/>
        <v>0</v>
      </c>
      <c r="K28" s="3"/>
      <c r="L28" s="8">
        <f t="shared" si="18"/>
        <v>0</v>
      </c>
      <c r="M28" s="3"/>
      <c r="N28" s="7">
        <f t="shared" si="19"/>
        <v>0</v>
      </c>
      <c r="O28" s="12"/>
      <c r="P28" s="8"/>
      <c r="Q28" s="3"/>
      <c r="R28" s="7">
        <f t="shared" si="20"/>
        <v>0</v>
      </c>
      <c r="S28" s="3"/>
      <c r="T28" s="8">
        <v>0</v>
      </c>
      <c r="U28" s="3"/>
      <c r="V28" s="7">
        <f t="shared" si="21"/>
        <v>0</v>
      </c>
      <c r="W28" s="3"/>
      <c r="X28" s="8">
        <f t="shared" si="22"/>
        <v>0</v>
      </c>
      <c r="Y28" s="3"/>
      <c r="Z28" s="7">
        <f t="shared" si="23"/>
        <v>0</v>
      </c>
    </row>
    <row r="29" spans="1:26" s="29" customFormat="1" outlineLevel="1" collapsed="1" x14ac:dyDescent="0.3">
      <c r="A29" s="28"/>
      <c r="B29" s="14" t="str">
        <f>CONCATENATE("     ","Telephone/Data Lines                              ")</f>
        <v xml:space="preserve">     Telephone/Data Lines                              </v>
      </c>
      <c r="C29" s="14"/>
      <c r="D29" s="1">
        <f>SUM(OSRRefD22_3x_0)</f>
        <v>0</v>
      </c>
      <c r="E29" s="1"/>
      <c r="F29" s="5">
        <f t="shared" si="16"/>
        <v>0</v>
      </c>
      <c r="G29" s="1"/>
      <c r="H29" s="1">
        <f>SUM(OSRRefH22_3x_0)</f>
        <v>0</v>
      </c>
      <c r="I29" s="1"/>
      <c r="J29" s="5">
        <f t="shared" si="17"/>
        <v>0</v>
      </c>
      <c r="K29" s="1"/>
      <c r="L29" s="1">
        <f t="shared" si="18"/>
        <v>0</v>
      </c>
      <c r="M29" s="1"/>
      <c r="N29" s="5">
        <f t="shared" si="19"/>
        <v>0</v>
      </c>
      <c r="O29" s="14"/>
      <c r="P29" s="1">
        <f>SUM(OSRRefP22_3x_0)</f>
        <v>0</v>
      </c>
      <c r="Q29" s="1"/>
      <c r="R29" s="5">
        <f t="shared" si="20"/>
        <v>0</v>
      </c>
      <c r="S29" s="1"/>
      <c r="T29" s="1">
        <f>SUM(OSRRefT22_3x_0)</f>
        <v>0</v>
      </c>
      <c r="U29" s="1"/>
      <c r="V29" s="5">
        <f t="shared" si="21"/>
        <v>0</v>
      </c>
      <c r="W29" s="1"/>
      <c r="X29" s="1">
        <f t="shared" si="22"/>
        <v>0</v>
      </c>
      <c r="Y29" s="1"/>
      <c r="Z29" s="5">
        <f t="shared" si="23"/>
        <v>0</v>
      </c>
    </row>
    <row r="30" spans="1:26" s="24" customFormat="1" hidden="1" outlineLevel="2" x14ac:dyDescent="0.3">
      <c r="A30" s="27"/>
      <c r="B30" s="12" t="str">
        <f>CONCATENATE("          ", "6309", " - ", "TELEPHONE")</f>
        <v xml:space="preserve">          6309 - TELEPHONE</v>
      </c>
      <c r="C30" s="12"/>
      <c r="D30" s="8"/>
      <c r="E30" s="3"/>
      <c r="F30" s="7">
        <f t="shared" si="16"/>
        <v>0</v>
      </c>
      <c r="G30" s="3"/>
      <c r="H30" s="8">
        <v>0</v>
      </c>
      <c r="I30" s="3"/>
      <c r="J30" s="7">
        <f t="shared" si="17"/>
        <v>0</v>
      </c>
      <c r="K30" s="3"/>
      <c r="L30" s="8">
        <f t="shared" si="18"/>
        <v>0</v>
      </c>
      <c r="M30" s="3"/>
      <c r="N30" s="7">
        <f t="shared" si="19"/>
        <v>0</v>
      </c>
      <c r="O30" s="12"/>
      <c r="P30" s="8"/>
      <c r="Q30" s="3"/>
      <c r="R30" s="7">
        <f t="shared" si="20"/>
        <v>0</v>
      </c>
      <c r="S30" s="3"/>
      <c r="T30" s="8">
        <v>0</v>
      </c>
      <c r="U30" s="3"/>
      <c r="V30" s="7">
        <f t="shared" si="21"/>
        <v>0</v>
      </c>
      <c r="W30" s="3"/>
      <c r="X30" s="8">
        <f t="shared" si="22"/>
        <v>0</v>
      </c>
      <c r="Y30" s="3"/>
      <c r="Z30" s="7">
        <f t="shared" si="23"/>
        <v>0</v>
      </c>
    </row>
    <row r="31" spans="1:26" s="53" customFormat="1" x14ac:dyDescent="0.3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292</v>
      </c>
      <c r="C32" s="10"/>
      <c r="D32" s="4">
        <f>SUM(0)</f>
        <v>0</v>
      </c>
      <c r="E32" s="4"/>
      <c r="F32" s="11">
        <f>IF(D$12=0,0,D32/D$12)</f>
        <v>0</v>
      </c>
      <c r="G32" s="4"/>
      <c r="H32" s="4">
        <f>SUM(0)</f>
        <v>0</v>
      </c>
      <c r="I32" s="4"/>
      <c r="J32" s="11">
        <f>IF(H$12=0,0,H32/H$12)</f>
        <v>0</v>
      </c>
      <c r="K32" s="4"/>
      <c r="L32" s="4">
        <f>+D32-H32</f>
        <v>0</v>
      </c>
      <c r="M32" s="4"/>
      <c r="N32" s="11">
        <f>IF(H32=0,0,L32/H32)</f>
        <v>0</v>
      </c>
      <c r="O32" s="10"/>
      <c r="P32" s="4">
        <f>SUM(0)</f>
        <v>0</v>
      </c>
      <c r="Q32" s="4"/>
      <c r="R32" s="11">
        <f>IF(P$12=0,0,P32/P$12)</f>
        <v>0</v>
      </c>
      <c r="S32" s="4"/>
      <c r="T32" s="4">
        <f>SUM(0)</f>
        <v>0</v>
      </c>
      <c r="U32" s="4"/>
      <c r="V32" s="11">
        <f>IF(T$12=0,0,T32/T$12)</f>
        <v>0</v>
      </c>
      <c r="W32" s="4"/>
      <c r="X32" s="4">
        <f>+P32-T32</f>
        <v>0</v>
      </c>
      <c r="Y32" s="4"/>
      <c r="Z32" s="11">
        <f>IF(T32=0,0,X32/T32)</f>
        <v>0</v>
      </c>
    </row>
    <row r="33" spans="1:26" x14ac:dyDescent="0.3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x14ac:dyDescent="0.3">
      <c r="A34" s="10"/>
      <c r="B34" s="26" t="s">
        <v>276</v>
      </c>
      <c r="C34" s="26"/>
      <c r="D34" s="20">
        <f>+D16-D18+D32</f>
        <v>0</v>
      </c>
      <c r="E34" s="13"/>
      <c r="F34" s="21">
        <f>IF(D$12=0,0,D34/D$12)</f>
        <v>0</v>
      </c>
      <c r="G34" s="13"/>
      <c r="H34" s="20">
        <f>+H16-H18+H32</f>
        <v>-0.23</v>
      </c>
      <c r="I34" s="13"/>
      <c r="J34" s="21">
        <f>IF(H$12=0,0,H34/H$12)</f>
        <v>0</v>
      </c>
      <c r="K34" s="16"/>
      <c r="L34" s="20">
        <f>+D34-H34</f>
        <v>0.23</v>
      </c>
      <c r="M34" s="16"/>
      <c r="N34" s="21">
        <f>IF(H34=0,0,L34/H34)</f>
        <v>-1</v>
      </c>
      <c r="O34" s="25"/>
      <c r="P34" s="20">
        <f>+P16-P18+P32</f>
        <v>0</v>
      </c>
      <c r="Q34" s="13"/>
      <c r="R34" s="21">
        <f>IF(P$12=0,0,P34/P$12)</f>
        <v>0</v>
      </c>
      <c r="S34" s="13"/>
      <c r="T34" s="20">
        <f>+T16-T18+T32</f>
        <v>-0.23</v>
      </c>
      <c r="U34" s="13"/>
      <c r="V34" s="21">
        <f>IF(T$12=0,0,T34/T$12)</f>
        <v>0</v>
      </c>
      <c r="W34" s="16"/>
      <c r="X34" s="20">
        <f>+P34-T34</f>
        <v>0.23</v>
      </c>
      <c r="Y34" s="16"/>
      <c r="Z34" s="21">
        <f>IF(T34=0,0,X34/T34)</f>
        <v>-1</v>
      </c>
    </row>
    <row r="35" spans="1:26" x14ac:dyDescent="0.3">
      <c r="A35" s="9"/>
      <c r="B35" s="10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x14ac:dyDescent="0.3">
      <c r="A36" s="51"/>
      <c r="B36" s="10" t="s">
        <v>127</v>
      </c>
      <c r="C36" s="10"/>
      <c r="D36" s="4"/>
      <c r="E36" s="4"/>
      <c r="F36" s="11">
        <f>IF(D$12=0,0,D36/D$12)</f>
        <v>0</v>
      </c>
      <c r="G36" s="4"/>
      <c r="H36" s="4"/>
      <c r="I36" s="4"/>
      <c r="J36" s="11">
        <f>IF(H$12=0,0,H36/H$12)</f>
        <v>0</v>
      </c>
      <c r="K36" s="4"/>
      <c r="L36" s="4">
        <f>+D36-H36</f>
        <v>0</v>
      </c>
      <c r="M36" s="4"/>
      <c r="N36" s="11">
        <f>IF(H36=0,0,L36/H36)</f>
        <v>0</v>
      </c>
      <c r="O36" s="10"/>
      <c r="P36" s="4"/>
      <c r="Q36" s="4"/>
      <c r="R36" s="11">
        <f>IF(P$12=0,0,P36/P$12)</f>
        <v>0</v>
      </c>
      <c r="S36" s="4"/>
      <c r="T36" s="4"/>
      <c r="U36" s="4"/>
      <c r="V36" s="11">
        <f>IF(T$12=0,0,T36/T$12)</f>
        <v>0</v>
      </c>
      <c r="W36" s="4"/>
      <c r="X36" s="4">
        <f>+P36-T36</f>
        <v>0</v>
      </c>
      <c r="Y36" s="4"/>
      <c r="Z36" s="11">
        <f>IF(T36=0,0,X36/T36)</f>
        <v>0</v>
      </c>
    </row>
    <row r="37" spans="1:26" x14ac:dyDescent="0.3">
      <c r="A37" s="9"/>
      <c r="B37" s="10"/>
      <c r="C37" s="10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O37" s="10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ht="15" thickBot="1" x14ac:dyDescent="0.35">
      <c r="A38" s="10"/>
      <c r="B38" s="26" t="s">
        <v>125</v>
      </c>
      <c r="C38" s="26"/>
      <c r="D38" s="36">
        <f>+D34-D36</f>
        <v>0</v>
      </c>
      <c r="E38" s="13"/>
      <c r="F38" s="34">
        <f>IF(D$12=0,0,D38/D$12)</f>
        <v>0</v>
      </c>
      <c r="G38" s="13"/>
      <c r="H38" s="36">
        <f>+H34-H36</f>
        <v>-0.23</v>
      </c>
      <c r="I38" s="13"/>
      <c r="J38" s="34">
        <f>IF(H$12=0,0,H38/H$12)</f>
        <v>0</v>
      </c>
      <c r="K38" s="16"/>
      <c r="L38" s="36">
        <f>D38-H38</f>
        <v>0.23</v>
      </c>
      <c r="M38" s="16"/>
      <c r="N38" s="34">
        <f>IF(H38=0,0,L38/H38)</f>
        <v>-1</v>
      </c>
      <c r="O38" s="25"/>
      <c r="P38" s="36">
        <f>+P34-P36</f>
        <v>0</v>
      </c>
      <c r="Q38" s="13"/>
      <c r="R38" s="34">
        <f>IF(P$12=0,0,P38/P$12)</f>
        <v>0</v>
      </c>
      <c r="S38" s="13"/>
      <c r="T38" s="36">
        <f>+T34-T36</f>
        <v>-0.23</v>
      </c>
      <c r="U38" s="13"/>
      <c r="V38" s="34">
        <f>IF(T$12=0,0,T38/T$12)</f>
        <v>0</v>
      </c>
      <c r="W38" s="16"/>
      <c r="X38" s="36">
        <f>P38-T38</f>
        <v>0.23</v>
      </c>
      <c r="Y38" s="16"/>
      <c r="Z38" s="34">
        <f>IF(T38=0,0,X38/T38)</f>
        <v>-1</v>
      </c>
    </row>
    <row r="39" spans="1:26" ht="15" thickTop="1" x14ac:dyDescent="0.3">
      <c r="A39" s="9"/>
      <c r="B39" s="9"/>
      <c r="C39" s="9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x14ac:dyDescent="0.3">
      <c r="A40" s="9"/>
      <c r="B40" s="9"/>
      <c r="C40" s="9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3" customFormat="1" ht="15" thickBot="1" x14ac:dyDescent="0.35">
      <c r="A41" s="10"/>
      <c r="B41" s="26" t="s">
        <v>293</v>
      </c>
      <c r="C41" s="26"/>
      <c r="D41" s="31">
        <f>SUM(D38:D40)</f>
        <v>0</v>
      </c>
      <c r="E41" s="13"/>
      <c r="F41" s="33">
        <f>IF(D$12=0,0,D41/D$12)</f>
        <v>0</v>
      </c>
      <c r="G41" s="13"/>
      <c r="H41" s="31">
        <f>SUM(H38:H40)</f>
        <v>-0.23</v>
      </c>
      <c r="I41" s="13"/>
      <c r="J41" s="33">
        <f>IF(H$12=0,0,H41/H$12)</f>
        <v>0</v>
      </c>
      <c r="K41" s="16"/>
      <c r="L41" s="31">
        <f>+D41-H41</f>
        <v>0.23</v>
      </c>
      <c r="M41" s="16"/>
      <c r="N41" s="33">
        <f>IF(H41=0,0,L41/H41)</f>
        <v>-1</v>
      </c>
      <c r="O41" s="25"/>
      <c r="P41" s="31">
        <f>SUM(P38:P40)</f>
        <v>0</v>
      </c>
      <c r="Q41" s="13"/>
      <c r="R41" s="33">
        <f>IF(P$12=0,0,P41/P$12)</f>
        <v>0</v>
      </c>
      <c r="S41" s="13"/>
      <c r="T41" s="31">
        <f>SUM(T38:T40)</f>
        <v>-0.23</v>
      </c>
      <c r="U41" s="13"/>
      <c r="V41" s="33">
        <f>IF(T$12=0,0,T41/T$12)</f>
        <v>0</v>
      </c>
      <c r="W41" s="16"/>
      <c r="X41" s="31">
        <f>+P41-T41</f>
        <v>0.23</v>
      </c>
      <c r="Y41" s="16"/>
      <c r="Z41" s="33">
        <f>IF(T41=0,0,X41/T41)</f>
        <v>-1</v>
      </c>
    </row>
    <row r="42" spans="1:26" ht="15" thickTop="1" x14ac:dyDescent="0.3">
      <c r="A42" s="9"/>
      <c r="C42" s="9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">
      <c r="A43" s="9"/>
      <c r="B43" s="59">
        <v>44462.666945868055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3">
      <c r="A44" s="9"/>
      <c r="B44" s="57" t="s">
        <v>56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">
      <c r="A45" s="9"/>
      <c r="B45" s="61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6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80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21" si="0">+D12-H12</f>
        <v>0</v>
      </c>
      <c r="M12" s="4"/>
      <c r="N12" s="11">
        <f t="shared" ref="N12:N21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21" si="2">+P12-T12</f>
        <v>0</v>
      </c>
      <c r="Y12" s="4"/>
      <c r="Z12" s="11">
        <f t="shared" ref="Z12:Z21" si="3">IF(T12=0,0,X12/T12)</f>
        <v>0</v>
      </c>
    </row>
    <row r="13" spans="1:26" s="24" customFormat="1" hidden="1" outlineLevel="1" x14ac:dyDescent="0.3">
      <c r="A13" s="50"/>
      <c r="B13" s="12" t="str">
        <f>CONCATENATE("          ", "4026", " - ", "TAXABLE SALES-WRITING INSTRUME")</f>
        <v xml:space="preserve">          4026 - TAXABLE SALES-WRITING INSTRUME</v>
      </c>
      <c r="C13" s="12"/>
      <c r="D13" s="3">
        <f t="shared" ref="D13:D21" si="4">0</f>
        <v>0</v>
      </c>
      <c r="E13" s="3"/>
      <c r="F13" s="22"/>
      <c r="G13" s="3"/>
      <c r="H13" s="3">
        <f t="shared" ref="H13:H21" si="5">0</f>
        <v>0</v>
      </c>
      <c r="I13" s="3"/>
      <c r="J13" s="22"/>
      <c r="K13" s="3"/>
      <c r="L13" s="3">
        <f t="shared" si="0"/>
        <v>0</v>
      </c>
      <c r="M13" s="3"/>
      <c r="N13" s="22">
        <f t="shared" si="1"/>
        <v>0</v>
      </c>
      <c r="O13" s="12"/>
      <c r="P13" s="3">
        <f t="shared" ref="P13:P21" si="6">0</f>
        <v>0</v>
      </c>
      <c r="Q13" s="3"/>
      <c r="R13" s="22"/>
      <c r="S13" s="3"/>
      <c r="T13" s="3">
        <f t="shared" ref="T13:T21" si="7">0</f>
        <v>0</v>
      </c>
      <c r="U13" s="3"/>
      <c r="V13" s="22"/>
      <c r="W13" s="3"/>
      <c r="X13" s="3">
        <f t="shared" si="2"/>
        <v>0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"4027", " - ", "TAXABLE SALES-SCHOOL SUPPLIES")</f>
        <v xml:space="preserve">          4027 - TAXABLE SALES-SCHOOL SUPPLIES</v>
      </c>
      <c r="C14" s="12"/>
      <c r="D14" s="3">
        <f t="shared" si="4"/>
        <v>0</v>
      </c>
      <c r="E14" s="3"/>
      <c r="F14" s="22"/>
      <c r="G14" s="3"/>
      <c r="H14" s="3">
        <f t="shared" si="5"/>
        <v>0</v>
      </c>
      <c r="I14" s="3"/>
      <c r="J14" s="22"/>
      <c r="K14" s="3"/>
      <c r="L14" s="3">
        <f t="shared" si="0"/>
        <v>0</v>
      </c>
      <c r="M14" s="3"/>
      <c r="N14" s="22">
        <f t="shared" si="1"/>
        <v>0</v>
      </c>
      <c r="O14" s="12"/>
      <c r="P14" s="3">
        <f t="shared" si="6"/>
        <v>0</v>
      </c>
      <c r="Q14" s="3"/>
      <c r="R14" s="22"/>
      <c r="S14" s="3"/>
      <c r="T14" s="3">
        <f t="shared" si="7"/>
        <v>0</v>
      </c>
      <c r="U14" s="3"/>
      <c r="V14" s="22"/>
      <c r="W14" s="3"/>
      <c r="X14" s="3">
        <f t="shared" si="2"/>
        <v>0</v>
      </c>
      <c r="Y14" s="3"/>
      <c r="Z14" s="22">
        <f t="shared" si="3"/>
        <v>0</v>
      </c>
    </row>
    <row r="15" spans="1:26" s="24" customFormat="1" hidden="1" outlineLevel="1" x14ac:dyDescent="0.3">
      <c r="A15" s="50"/>
      <c r="B15" s="12" t="str">
        <f>CONCATENATE("          ", "4028", " - ", "TAXABLE SALES-ART/TECH")</f>
        <v xml:space="preserve">          4028 - TAXABLE SALES-ART/TECH</v>
      </c>
      <c r="C15" s="12"/>
      <c r="D15" s="3">
        <f t="shared" si="4"/>
        <v>0</v>
      </c>
      <c r="E15" s="3"/>
      <c r="F15" s="22"/>
      <c r="G15" s="3"/>
      <c r="H15" s="3">
        <f t="shared" si="5"/>
        <v>0</v>
      </c>
      <c r="I15" s="3"/>
      <c r="J15" s="22"/>
      <c r="K15" s="3"/>
      <c r="L15" s="3">
        <f t="shared" si="0"/>
        <v>0</v>
      </c>
      <c r="M15" s="3"/>
      <c r="N15" s="22">
        <f t="shared" si="1"/>
        <v>0</v>
      </c>
      <c r="O15" s="12"/>
      <c r="P15" s="3">
        <f t="shared" si="6"/>
        <v>0</v>
      </c>
      <c r="Q15" s="3"/>
      <c r="R15" s="22"/>
      <c r="S15" s="3"/>
      <c r="T15" s="3">
        <f t="shared" si="7"/>
        <v>0</v>
      </c>
      <c r="U15" s="3"/>
      <c r="V15" s="22"/>
      <c r="W15" s="3"/>
      <c r="X15" s="3">
        <f t="shared" si="2"/>
        <v>0</v>
      </c>
      <c r="Y15" s="3"/>
      <c r="Z15" s="22">
        <f t="shared" si="3"/>
        <v>0</v>
      </c>
    </row>
    <row r="16" spans="1:26" s="24" customFormat="1" hidden="1" outlineLevel="1" x14ac:dyDescent="0.3">
      <c r="A16" s="50"/>
      <c r="B16" s="12" t="str">
        <f>CONCATENATE("          ", "4031", " - ", "TAXABLE SALES-FOOD")</f>
        <v xml:space="preserve">          4031 - TAXABLE SALES-FOOD</v>
      </c>
      <c r="C16" s="12"/>
      <c r="D16" s="3">
        <f t="shared" si="4"/>
        <v>0</v>
      </c>
      <c r="E16" s="3"/>
      <c r="F16" s="22"/>
      <c r="G16" s="3"/>
      <c r="H16" s="3">
        <f t="shared" si="5"/>
        <v>0</v>
      </c>
      <c r="I16" s="3"/>
      <c r="J16" s="22"/>
      <c r="K16" s="3"/>
      <c r="L16" s="3">
        <f t="shared" si="0"/>
        <v>0</v>
      </c>
      <c r="M16" s="3"/>
      <c r="N16" s="22">
        <f t="shared" si="1"/>
        <v>0</v>
      </c>
      <c r="O16" s="12"/>
      <c r="P16" s="3">
        <f t="shared" si="6"/>
        <v>0</v>
      </c>
      <c r="Q16" s="3"/>
      <c r="R16" s="22"/>
      <c r="S16" s="3"/>
      <c r="T16" s="3">
        <f t="shared" si="7"/>
        <v>0</v>
      </c>
      <c r="U16" s="3"/>
      <c r="V16" s="22"/>
      <c r="W16" s="3"/>
      <c r="X16" s="3">
        <f t="shared" si="2"/>
        <v>0</v>
      </c>
      <c r="Y16" s="3"/>
      <c r="Z16" s="22">
        <f t="shared" si="3"/>
        <v>0</v>
      </c>
    </row>
    <row r="17" spans="1:26" s="24" customFormat="1" hidden="1" outlineLevel="1" x14ac:dyDescent="0.3">
      <c r="A17" s="50"/>
      <c r="B17" s="12" t="str">
        <f>CONCATENATE("          ", "4126", " - ", "NON-TAXABLE SALES-WRITING INST")</f>
        <v xml:space="preserve">          4126 - NON-TAXABLE SALES-WRITING INST</v>
      </c>
      <c r="C17" s="12"/>
      <c r="D17" s="3">
        <f t="shared" si="4"/>
        <v>0</v>
      </c>
      <c r="E17" s="3"/>
      <c r="F17" s="22"/>
      <c r="G17" s="3"/>
      <c r="H17" s="3">
        <f t="shared" si="5"/>
        <v>0</v>
      </c>
      <c r="I17" s="3"/>
      <c r="J17" s="22"/>
      <c r="K17" s="3"/>
      <c r="L17" s="3">
        <f t="shared" si="0"/>
        <v>0</v>
      </c>
      <c r="M17" s="3"/>
      <c r="N17" s="22">
        <f t="shared" si="1"/>
        <v>0</v>
      </c>
      <c r="O17" s="12"/>
      <c r="P17" s="3">
        <f t="shared" si="6"/>
        <v>0</v>
      </c>
      <c r="Q17" s="3"/>
      <c r="R17" s="22"/>
      <c r="S17" s="3"/>
      <c r="T17" s="3">
        <f t="shared" si="7"/>
        <v>0</v>
      </c>
      <c r="U17" s="3"/>
      <c r="V17" s="22"/>
      <c r="W17" s="3"/>
      <c r="X17" s="3">
        <f t="shared" si="2"/>
        <v>0</v>
      </c>
      <c r="Y17" s="3"/>
      <c r="Z17" s="22">
        <f t="shared" si="3"/>
        <v>0</v>
      </c>
    </row>
    <row r="18" spans="1:26" s="24" customFormat="1" hidden="1" outlineLevel="1" x14ac:dyDescent="0.3">
      <c r="A18" s="50"/>
      <c r="B18" s="12" t="str">
        <f>CONCATENATE("          ", "4131", " - ", "NON-TAXABLE SALES-FOOD")</f>
        <v xml:space="preserve">          4131 - NON-TAXABLE SALES-FOOD</v>
      </c>
      <c r="C18" s="12"/>
      <c r="D18" s="3">
        <f t="shared" si="4"/>
        <v>0</v>
      </c>
      <c r="E18" s="3"/>
      <c r="F18" s="22"/>
      <c r="G18" s="3"/>
      <c r="H18" s="3">
        <f t="shared" si="5"/>
        <v>0</v>
      </c>
      <c r="I18" s="3"/>
      <c r="J18" s="22"/>
      <c r="K18" s="3"/>
      <c r="L18" s="3">
        <f t="shared" si="0"/>
        <v>0</v>
      </c>
      <c r="M18" s="3"/>
      <c r="N18" s="22">
        <f t="shared" si="1"/>
        <v>0</v>
      </c>
      <c r="O18" s="12"/>
      <c r="P18" s="3">
        <f t="shared" si="6"/>
        <v>0</v>
      </c>
      <c r="Q18" s="3"/>
      <c r="R18" s="22"/>
      <c r="S18" s="3"/>
      <c r="T18" s="3">
        <f t="shared" si="7"/>
        <v>0</v>
      </c>
      <c r="U18" s="3"/>
      <c r="V18" s="22"/>
      <c r="W18" s="3"/>
      <c r="X18" s="3">
        <f t="shared" si="2"/>
        <v>0</v>
      </c>
      <c r="Y18" s="3"/>
      <c r="Z18" s="22">
        <f t="shared" si="3"/>
        <v>0</v>
      </c>
    </row>
    <row r="19" spans="1:26" s="24" customFormat="1" hidden="1" outlineLevel="1" x14ac:dyDescent="0.3">
      <c r="A19" s="50"/>
      <c r="B19" s="12" t="str">
        <f>CONCATENATE("          ", "4133", " - ", "NON-TAXABLE SALES-CANDY")</f>
        <v xml:space="preserve">          4133 - NON-TAXABLE SALES-CANDY</v>
      </c>
      <c r="C19" s="12"/>
      <c r="D19" s="3">
        <f t="shared" si="4"/>
        <v>0</v>
      </c>
      <c r="E19" s="3"/>
      <c r="F19" s="22"/>
      <c r="G19" s="3"/>
      <c r="H19" s="3">
        <f t="shared" si="5"/>
        <v>0</v>
      </c>
      <c r="I19" s="3"/>
      <c r="J19" s="22"/>
      <c r="K19" s="3"/>
      <c r="L19" s="3">
        <f t="shared" si="0"/>
        <v>0</v>
      </c>
      <c r="M19" s="3"/>
      <c r="N19" s="22">
        <f t="shared" si="1"/>
        <v>0</v>
      </c>
      <c r="O19" s="12"/>
      <c r="P19" s="3">
        <f t="shared" si="6"/>
        <v>0</v>
      </c>
      <c r="Q19" s="3"/>
      <c r="R19" s="22"/>
      <c r="S19" s="3"/>
      <c r="T19" s="3">
        <f t="shared" si="7"/>
        <v>0</v>
      </c>
      <c r="U19" s="3"/>
      <c r="V19" s="22"/>
      <c r="W19" s="3"/>
      <c r="X19" s="3">
        <f t="shared" si="2"/>
        <v>0</v>
      </c>
      <c r="Y19" s="3"/>
      <c r="Z19" s="22">
        <f t="shared" si="3"/>
        <v>0</v>
      </c>
    </row>
    <row r="20" spans="1:26" s="24" customFormat="1" hidden="1" outlineLevel="1" x14ac:dyDescent="0.3">
      <c r="A20" s="50"/>
      <c r="B20" s="12" t="str">
        <f>CONCATENATE("          ", "4226", " - ", "SALES RETURN TAXABLE-WRITING I")</f>
        <v xml:space="preserve">          4226 - SALES RETURN TAXABLE-WRITING I</v>
      </c>
      <c r="C20" s="12"/>
      <c r="D20" s="3">
        <f t="shared" si="4"/>
        <v>0</v>
      </c>
      <c r="E20" s="3"/>
      <c r="F20" s="22"/>
      <c r="G20" s="3"/>
      <c r="H20" s="3">
        <f t="shared" si="5"/>
        <v>0</v>
      </c>
      <c r="I20" s="3"/>
      <c r="J20" s="22"/>
      <c r="K20" s="3"/>
      <c r="L20" s="3">
        <f t="shared" si="0"/>
        <v>0</v>
      </c>
      <c r="M20" s="3"/>
      <c r="N20" s="22">
        <f t="shared" si="1"/>
        <v>0</v>
      </c>
      <c r="O20" s="12"/>
      <c r="P20" s="3">
        <f t="shared" si="6"/>
        <v>0</v>
      </c>
      <c r="Q20" s="3"/>
      <c r="R20" s="22"/>
      <c r="S20" s="3"/>
      <c r="T20" s="3">
        <f t="shared" si="7"/>
        <v>0</v>
      </c>
      <c r="U20" s="3"/>
      <c r="V20" s="22"/>
      <c r="W20" s="3"/>
      <c r="X20" s="3">
        <f t="shared" si="2"/>
        <v>0</v>
      </c>
      <c r="Y20" s="3"/>
      <c r="Z20" s="22">
        <f t="shared" si="3"/>
        <v>0</v>
      </c>
    </row>
    <row r="21" spans="1:26" s="24" customFormat="1" hidden="1" outlineLevel="1" x14ac:dyDescent="0.3">
      <c r="A21" s="50"/>
      <c r="B21" s="12" t="str">
        <f>CONCATENATE("          ", "4227", " - ", "SALES RETURN TAXABLE-SCHOOL SU")</f>
        <v xml:space="preserve">          4227 - SALES RETURN TAXABLE-SCHOOL SU</v>
      </c>
      <c r="C21" s="12"/>
      <c r="D21" s="3">
        <f t="shared" si="4"/>
        <v>0</v>
      </c>
      <c r="E21" s="3"/>
      <c r="F21" s="22"/>
      <c r="G21" s="3"/>
      <c r="H21" s="3">
        <f t="shared" si="5"/>
        <v>0</v>
      </c>
      <c r="I21" s="3"/>
      <c r="J21" s="22"/>
      <c r="K21" s="3"/>
      <c r="L21" s="3">
        <f t="shared" si="0"/>
        <v>0</v>
      </c>
      <c r="M21" s="3"/>
      <c r="N21" s="22">
        <f t="shared" si="1"/>
        <v>0</v>
      </c>
      <c r="O21" s="12"/>
      <c r="P21" s="3">
        <f t="shared" si="6"/>
        <v>0</v>
      </c>
      <c r="Q21" s="3"/>
      <c r="R21" s="22"/>
      <c r="S21" s="3"/>
      <c r="T21" s="3">
        <f t="shared" si="7"/>
        <v>0</v>
      </c>
      <c r="U21" s="3"/>
      <c r="V21" s="22"/>
      <c r="W21" s="3"/>
      <c r="X21" s="3">
        <f t="shared" si="2"/>
        <v>0</v>
      </c>
      <c r="Y21" s="3"/>
      <c r="Z21" s="22">
        <f t="shared" si="3"/>
        <v>0</v>
      </c>
    </row>
    <row r="22" spans="1:26" x14ac:dyDescent="0.3">
      <c r="A22" s="9"/>
      <c r="B22" s="10"/>
      <c r="C22" s="9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collapsed="1" x14ac:dyDescent="0.3">
      <c r="A23" s="10"/>
      <c r="B23" s="25" t="s">
        <v>256</v>
      </c>
      <c r="C23" s="10"/>
      <c r="D23" s="4">
        <f>SUM(OSRRefD16x_0)</f>
        <v>0</v>
      </c>
      <c r="E23" s="4"/>
      <c r="F23" s="11">
        <f t="shared" ref="F23:F25" si="8">IF(D$12=0,0,D23/D$12)</f>
        <v>0</v>
      </c>
      <c r="G23" s="4"/>
      <c r="H23" s="4">
        <f>SUM(OSRRefH16x_0)</f>
        <v>38.049999999999997</v>
      </c>
      <c r="I23" s="4"/>
      <c r="J23" s="11">
        <f t="shared" ref="J23:J25" si="9">IF(H$12=0,0,H23/H$12)</f>
        <v>0</v>
      </c>
      <c r="K23" s="4"/>
      <c r="L23" s="4">
        <f t="shared" ref="L23:L25" si="10">+D23-H23</f>
        <v>-38.049999999999997</v>
      </c>
      <c r="M23" s="4"/>
      <c r="N23" s="11">
        <f t="shared" ref="N23:N25" si="11">IF(H23=0,0,L23/H23)</f>
        <v>-1</v>
      </c>
      <c r="O23" s="10"/>
      <c r="P23" s="4">
        <f>SUM(OSRRefP16x_0)</f>
        <v>0</v>
      </c>
      <c r="Q23" s="4"/>
      <c r="R23" s="11">
        <f t="shared" ref="R23:R25" si="12">IF(P$12=0,0,P23/P$12)</f>
        <v>0</v>
      </c>
      <c r="S23" s="4"/>
      <c r="T23" s="4">
        <f>SUM(OSRRefT16x_0)</f>
        <v>38.049999999999997</v>
      </c>
      <c r="U23" s="4"/>
      <c r="V23" s="11">
        <f t="shared" ref="V23:V25" si="13">IF(T$12=0,0,T23/T$12)</f>
        <v>0</v>
      </c>
      <c r="W23" s="4"/>
      <c r="X23" s="4">
        <f t="shared" ref="X23:X25" si="14">+P23-T23</f>
        <v>-38.049999999999997</v>
      </c>
      <c r="Y23" s="4"/>
      <c r="Z23" s="11">
        <f t="shared" ref="Z23:Z25" si="15">IF(T23=0,0,X23/T23)</f>
        <v>-1</v>
      </c>
    </row>
    <row r="24" spans="1:26" s="24" customFormat="1" hidden="1" outlineLevel="1" x14ac:dyDescent="0.3">
      <c r="A24" s="50"/>
      <c r="B24" s="12" t="str">
        <f>CONCATENATE("          ", "5027", " - ", "PURCHASES @ COST-SCHOOL SUPPLI")</f>
        <v xml:space="preserve">          5027 - PURCHASES @ COST-SCHOOL SUPPLI</v>
      </c>
      <c r="C24" s="12"/>
      <c r="D24" s="3"/>
      <c r="E24" s="3"/>
      <c r="F24" s="22">
        <f t="shared" si="8"/>
        <v>0</v>
      </c>
      <c r="G24" s="3"/>
      <c r="H24" s="3">
        <v>0</v>
      </c>
      <c r="I24" s="3"/>
      <c r="J24" s="22">
        <f t="shared" si="9"/>
        <v>0</v>
      </c>
      <c r="K24" s="3"/>
      <c r="L24" s="3">
        <f t="shared" si="10"/>
        <v>0</v>
      </c>
      <c r="M24" s="3"/>
      <c r="N24" s="22">
        <f t="shared" si="11"/>
        <v>0</v>
      </c>
      <c r="O24" s="12"/>
      <c r="P24" s="3"/>
      <c r="Q24" s="3"/>
      <c r="R24" s="22">
        <f t="shared" si="12"/>
        <v>0</v>
      </c>
      <c r="S24" s="3"/>
      <c r="T24" s="3">
        <v>0</v>
      </c>
      <c r="U24" s="3"/>
      <c r="V24" s="22">
        <f t="shared" si="13"/>
        <v>0</v>
      </c>
      <c r="W24" s="3"/>
      <c r="X24" s="3">
        <f t="shared" si="14"/>
        <v>0</v>
      </c>
      <c r="Y24" s="3"/>
      <c r="Z24" s="22">
        <f t="shared" si="15"/>
        <v>0</v>
      </c>
    </row>
    <row r="25" spans="1:26" s="24" customFormat="1" hidden="1" outlineLevel="1" x14ac:dyDescent="0.3">
      <c r="A25" s="50"/>
      <c r="B25" s="12" t="str">
        <f>CONCATENATE("          ", "5528", " - ", "FREIGHT-IN-ART/TECH")</f>
        <v xml:space="preserve">          5528 - FREIGHT-IN-ART/TECH</v>
      </c>
      <c r="C25" s="12"/>
      <c r="D25" s="3"/>
      <c r="E25" s="3"/>
      <c r="F25" s="22">
        <f t="shared" si="8"/>
        <v>0</v>
      </c>
      <c r="G25" s="3"/>
      <c r="H25" s="3">
        <v>38.049999999999997</v>
      </c>
      <c r="I25" s="3"/>
      <c r="J25" s="22">
        <f t="shared" si="9"/>
        <v>0</v>
      </c>
      <c r="K25" s="3"/>
      <c r="L25" s="3">
        <f t="shared" si="10"/>
        <v>-38.049999999999997</v>
      </c>
      <c r="M25" s="3"/>
      <c r="N25" s="22">
        <f t="shared" si="11"/>
        <v>-1</v>
      </c>
      <c r="O25" s="12"/>
      <c r="P25" s="3"/>
      <c r="Q25" s="3"/>
      <c r="R25" s="22">
        <f t="shared" si="12"/>
        <v>0</v>
      </c>
      <c r="S25" s="3"/>
      <c r="T25" s="3">
        <v>38.049999999999997</v>
      </c>
      <c r="U25" s="3"/>
      <c r="V25" s="22">
        <f t="shared" si="13"/>
        <v>0</v>
      </c>
      <c r="W25" s="3"/>
      <c r="X25" s="3">
        <f t="shared" si="14"/>
        <v>-38.049999999999997</v>
      </c>
      <c r="Y25" s="3"/>
      <c r="Z25" s="22">
        <f t="shared" si="15"/>
        <v>-1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107</v>
      </c>
      <c r="C27" s="26"/>
      <c r="D27" s="20">
        <f>D12-D23</f>
        <v>0</v>
      </c>
      <c r="E27" s="13"/>
      <c r="F27" s="21">
        <f>IF(D$12=0,0,D27/D$12)</f>
        <v>0</v>
      </c>
      <c r="G27" s="13"/>
      <c r="H27" s="20">
        <f>H12-H23</f>
        <v>-38.049999999999997</v>
      </c>
      <c r="I27" s="13"/>
      <c r="J27" s="21">
        <f>IF(H$12=0,0,H27/H$12)</f>
        <v>0</v>
      </c>
      <c r="K27" s="16"/>
      <c r="L27" s="20">
        <f>+D27-H27</f>
        <v>38.049999999999997</v>
      </c>
      <c r="M27" s="16"/>
      <c r="N27" s="21">
        <f>IF(H27=0,0,L27/H27)</f>
        <v>-1</v>
      </c>
      <c r="O27" s="25"/>
      <c r="P27" s="20">
        <f>P12-P23</f>
        <v>0</v>
      </c>
      <c r="Q27" s="13"/>
      <c r="R27" s="21">
        <f>IF(P$12=0,0,P27/P$12)</f>
        <v>0</v>
      </c>
      <c r="S27" s="13"/>
      <c r="T27" s="20">
        <f>T12-T23</f>
        <v>-38.049999999999997</v>
      </c>
      <c r="U27" s="13"/>
      <c r="V27" s="21">
        <f>IF(T$12=0,0,T27/T$12)</f>
        <v>0</v>
      </c>
      <c r="W27" s="16"/>
      <c r="X27" s="20">
        <f>+P27-T27</f>
        <v>38.049999999999997</v>
      </c>
      <c r="Y27" s="16"/>
      <c r="Z27" s="21">
        <f>IF(T27=0,0,X27/T27)</f>
        <v>-1</v>
      </c>
    </row>
    <row r="28" spans="1:26" x14ac:dyDescent="0.3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294</v>
      </c>
      <c r="C29" s="10"/>
      <c r="D29" s="19">
        <f>SUM(OSRRefD22x_0)</f>
        <v>763</v>
      </c>
      <c r="E29" s="19"/>
      <c r="F29" s="35">
        <f t="shared" ref="F29:F44" si="16">IF(D$12=0,0,D29/D$12)</f>
        <v>0</v>
      </c>
      <c r="G29" s="19"/>
      <c r="H29" s="19">
        <f>SUM(OSRRefH22x_0)</f>
        <v>1103.3499999999999</v>
      </c>
      <c r="I29" s="19"/>
      <c r="J29" s="35">
        <f t="shared" ref="J29:J44" si="17">IF(H$12=0,0,H29/H$12)</f>
        <v>0</v>
      </c>
      <c r="K29" s="4"/>
      <c r="L29" s="19">
        <f t="shared" ref="L29:L44" si="18">+D29-H29</f>
        <v>-340.34999999999991</v>
      </c>
      <c r="M29" s="4"/>
      <c r="N29" s="35">
        <f t="shared" ref="N29:N44" si="19">IF(H29=0,0,L29/H29)</f>
        <v>-0.30846966057914527</v>
      </c>
      <c r="O29" s="10"/>
      <c r="P29" s="19">
        <f>SUM(OSRRefP22x_0)</f>
        <v>763</v>
      </c>
      <c r="Q29" s="19"/>
      <c r="R29" s="35">
        <f t="shared" ref="R29:R44" si="20">IF(P$12=0,0,P29/P$12)</f>
        <v>0</v>
      </c>
      <c r="S29" s="19"/>
      <c r="T29" s="19">
        <f>SUM(OSRRefT22x_0)</f>
        <v>1103.3499999999999</v>
      </c>
      <c r="U29" s="19"/>
      <c r="V29" s="35">
        <f t="shared" ref="V29:V44" si="21">IF(T$12=0,0,T29/T$12)</f>
        <v>0</v>
      </c>
      <c r="W29" s="4"/>
      <c r="X29" s="19">
        <f t="shared" ref="X29:X44" si="22">+P29-T29</f>
        <v>-340.34999999999991</v>
      </c>
      <c r="Y29" s="4"/>
      <c r="Z29" s="35">
        <f t="shared" ref="Z29:Z44" si="23">IF(T29=0,0,X29/T29)</f>
        <v>-0.30846966057914527</v>
      </c>
    </row>
    <row r="30" spans="1:26" s="29" customFormat="1" outlineLevel="1" collapsed="1" x14ac:dyDescent="0.3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0</v>
      </c>
      <c r="E30" s="1"/>
      <c r="F30" s="5">
        <f t="shared" si="16"/>
        <v>0</v>
      </c>
      <c r="G30" s="1"/>
      <c r="H30" s="1">
        <f>SUM(OSRRefH22_0x_0)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4"/>
      <c r="P30" s="1">
        <f>SUM(OSRRefP22_0x_0)</f>
        <v>0</v>
      </c>
      <c r="Q30" s="1"/>
      <c r="R30" s="5">
        <f t="shared" si="20"/>
        <v>0</v>
      </c>
      <c r="S30" s="1"/>
      <c r="T30" s="1">
        <f>SUM(OSRRefT22_0x_0)</f>
        <v>0</v>
      </c>
      <c r="U30" s="1"/>
      <c r="V30" s="5">
        <f t="shared" si="21"/>
        <v>0</v>
      </c>
      <c r="W30" s="1"/>
      <c r="X30" s="1">
        <f t="shared" si="22"/>
        <v>0</v>
      </c>
      <c r="Y30" s="1"/>
      <c r="Z30" s="5">
        <f t="shared" si="23"/>
        <v>0</v>
      </c>
    </row>
    <row r="31" spans="1:26" s="24" customFormat="1" hidden="1" outlineLevel="2" x14ac:dyDescent="0.3">
      <c r="A31" s="27"/>
      <c r="B31" s="12" t="str">
        <f>CONCATENATE("          ", "6113", " - ", "GROUP INSURANCE")</f>
        <v xml:space="preserve">          6113 - GROUP INSURANCE</v>
      </c>
      <c r="C31" s="12"/>
      <c r="D31" s="8"/>
      <c r="E31" s="3"/>
      <c r="F31" s="7">
        <f t="shared" si="16"/>
        <v>0</v>
      </c>
      <c r="G31" s="3"/>
      <c r="H31" s="8">
        <v>0</v>
      </c>
      <c r="I31" s="3"/>
      <c r="J31" s="7">
        <f t="shared" si="17"/>
        <v>0</v>
      </c>
      <c r="K31" s="3"/>
      <c r="L31" s="8">
        <f t="shared" si="18"/>
        <v>0</v>
      </c>
      <c r="M31" s="3"/>
      <c r="N31" s="7">
        <f t="shared" si="19"/>
        <v>0</v>
      </c>
      <c r="O31" s="12"/>
      <c r="P31" s="8"/>
      <c r="Q31" s="3"/>
      <c r="R31" s="7">
        <f t="shared" si="20"/>
        <v>0</v>
      </c>
      <c r="S31" s="3"/>
      <c r="T31" s="8">
        <v>0</v>
      </c>
      <c r="U31" s="3"/>
      <c r="V31" s="7">
        <f t="shared" si="21"/>
        <v>0</v>
      </c>
      <c r="W31" s="3"/>
      <c r="X31" s="8">
        <f t="shared" si="22"/>
        <v>0</v>
      </c>
      <c r="Y31" s="3"/>
      <c r="Z31" s="7">
        <f t="shared" si="23"/>
        <v>0</v>
      </c>
    </row>
    <row r="32" spans="1:26" s="29" customFormat="1" outlineLevel="1" collapsed="1" x14ac:dyDescent="0.3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SUM(OSRRefD22_1x_0)</f>
        <v>100</v>
      </c>
      <c r="E32" s="1"/>
      <c r="F32" s="5">
        <f t="shared" si="16"/>
        <v>0</v>
      </c>
      <c r="G32" s="1"/>
      <c r="H32" s="1">
        <f>SUM(OSRRefH22_1x_0)</f>
        <v>0</v>
      </c>
      <c r="I32" s="1"/>
      <c r="J32" s="5">
        <f t="shared" si="17"/>
        <v>0</v>
      </c>
      <c r="K32" s="1"/>
      <c r="L32" s="1">
        <f t="shared" si="18"/>
        <v>100</v>
      </c>
      <c r="M32" s="1"/>
      <c r="N32" s="5">
        <f t="shared" si="19"/>
        <v>0</v>
      </c>
      <c r="O32" s="14"/>
      <c r="P32" s="1">
        <f>SUM(OSRRefP22_1x_0)</f>
        <v>100</v>
      </c>
      <c r="Q32" s="1"/>
      <c r="R32" s="5">
        <f t="shared" si="20"/>
        <v>0</v>
      </c>
      <c r="S32" s="1"/>
      <c r="T32" s="1">
        <f>SUM(OSRRefT22_1x_0)</f>
        <v>0</v>
      </c>
      <c r="U32" s="1"/>
      <c r="V32" s="5">
        <f t="shared" si="21"/>
        <v>0</v>
      </c>
      <c r="W32" s="1"/>
      <c r="X32" s="1">
        <f t="shared" si="22"/>
        <v>100</v>
      </c>
      <c r="Y32" s="1"/>
      <c r="Z32" s="5">
        <f t="shared" si="23"/>
        <v>0</v>
      </c>
    </row>
    <row r="33" spans="1:26" s="24" customFormat="1" hidden="1" outlineLevel="2" x14ac:dyDescent="0.3">
      <c r="A33" s="27"/>
      <c r="B33" s="12" t="str">
        <f>CONCATENATE("          ", "6362", " - ", "ADVERTISING EXPENSE")</f>
        <v xml:space="preserve">          6362 - ADVERTISING EXPENSE</v>
      </c>
      <c r="C33" s="12"/>
      <c r="D33" s="8">
        <v>100</v>
      </c>
      <c r="E33" s="3"/>
      <c r="F33" s="7">
        <f t="shared" si="16"/>
        <v>0</v>
      </c>
      <c r="G33" s="3"/>
      <c r="H33" s="8"/>
      <c r="I33" s="3"/>
      <c r="J33" s="7">
        <f t="shared" si="17"/>
        <v>0</v>
      </c>
      <c r="K33" s="3"/>
      <c r="L33" s="8">
        <f t="shared" si="18"/>
        <v>100</v>
      </c>
      <c r="M33" s="3"/>
      <c r="N33" s="7">
        <f t="shared" si="19"/>
        <v>0</v>
      </c>
      <c r="O33" s="12"/>
      <c r="P33" s="8">
        <v>100</v>
      </c>
      <c r="Q33" s="3"/>
      <c r="R33" s="7">
        <f t="shared" si="20"/>
        <v>0</v>
      </c>
      <c r="S33" s="3"/>
      <c r="T33" s="8"/>
      <c r="U33" s="3"/>
      <c r="V33" s="7">
        <f t="shared" si="21"/>
        <v>0</v>
      </c>
      <c r="W33" s="3"/>
      <c r="X33" s="8">
        <f t="shared" si="22"/>
        <v>100</v>
      </c>
      <c r="Y33" s="3"/>
      <c r="Z33" s="7">
        <f t="shared" si="23"/>
        <v>0</v>
      </c>
    </row>
    <row r="34" spans="1:26" s="29" customFormat="1" outlineLevel="1" collapsed="1" x14ac:dyDescent="0.3">
      <c r="A34" s="28"/>
      <c r="B34" s="14" t="str">
        <f>CONCATENATE("     ","Discounts and Markdowns                           ")</f>
        <v xml:space="preserve">     Discounts and Markdowns                           </v>
      </c>
      <c r="C34" s="14"/>
      <c r="D34" s="1">
        <f>SUM(OSRRefD22_2x_0)</f>
        <v>0</v>
      </c>
      <c r="E34" s="1"/>
      <c r="F34" s="5">
        <f t="shared" si="16"/>
        <v>0</v>
      </c>
      <c r="G34" s="1"/>
      <c r="H34" s="1">
        <f>SUM(OSRRefH22_2x_0)</f>
        <v>0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SUM(OSRRefP22_2x_0)</f>
        <v>0</v>
      </c>
      <c r="Q34" s="1"/>
      <c r="R34" s="5">
        <f t="shared" si="20"/>
        <v>0</v>
      </c>
      <c r="S34" s="1"/>
      <c r="T34" s="1">
        <f>SUM(OSRRefT22_2x_0)</f>
        <v>0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3">
      <c r="A35" s="27"/>
      <c r="B35" s="12" t="str">
        <f>CONCATENATE("          ", "6382", " - ", "DISCOUNTS/MARK DOWNS")</f>
        <v xml:space="preserve">          6382 - DISCOUNTS/MARK DOWNS</v>
      </c>
      <c r="C35" s="12"/>
      <c r="D35" s="8"/>
      <c r="E35" s="3"/>
      <c r="F35" s="7">
        <f t="shared" si="16"/>
        <v>0</v>
      </c>
      <c r="G35" s="3"/>
      <c r="H35" s="8">
        <v>0</v>
      </c>
      <c r="I35" s="3"/>
      <c r="J35" s="7">
        <f t="shared" si="17"/>
        <v>0</v>
      </c>
      <c r="K35" s="3"/>
      <c r="L35" s="8">
        <f t="shared" si="18"/>
        <v>0</v>
      </c>
      <c r="M35" s="3"/>
      <c r="N35" s="7">
        <f t="shared" si="19"/>
        <v>0</v>
      </c>
      <c r="O35" s="12"/>
      <c r="P35" s="8"/>
      <c r="Q35" s="3"/>
      <c r="R35" s="7">
        <f t="shared" si="20"/>
        <v>0</v>
      </c>
      <c r="S35" s="3"/>
      <c r="T35" s="8">
        <v>0</v>
      </c>
      <c r="U35" s="3"/>
      <c r="V35" s="7">
        <f t="shared" si="21"/>
        <v>0</v>
      </c>
      <c r="W35" s="3"/>
      <c r="X35" s="8">
        <f t="shared" si="22"/>
        <v>0</v>
      </c>
      <c r="Y35" s="3"/>
      <c r="Z35" s="7">
        <f t="shared" si="23"/>
        <v>0</v>
      </c>
    </row>
    <row r="36" spans="1:26" s="29" customFormat="1" outlineLevel="1" collapsed="1" x14ac:dyDescent="0.3">
      <c r="A36" s="28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SUM(OSRRefD22_3x_0)</f>
        <v>0</v>
      </c>
      <c r="E36" s="1"/>
      <c r="F36" s="5">
        <f t="shared" si="16"/>
        <v>0</v>
      </c>
      <c r="G36" s="1"/>
      <c r="H36" s="1">
        <f>SUM(OSRRefH22_3x_0)</f>
        <v>0</v>
      </c>
      <c r="I36" s="1"/>
      <c r="J36" s="5">
        <f t="shared" si="17"/>
        <v>0</v>
      </c>
      <c r="K36" s="1"/>
      <c r="L36" s="1">
        <f t="shared" si="18"/>
        <v>0</v>
      </c>
      <c r="M36" s="1"/>
      <c r="N36" s="5">
        <f t="shared" si="19"/>
        <v>0</v>
      </c>
      <c r="O36" s="14"/>
      <c r="P36" s="1">
        <f>SUM(OSRRefP22_3x_0)</f>
        <v>0</v>
      </c>
      <c r="Q36" s="1"/>
      <c r="R36" s="5">
        <f t="shared" si="20"/>
        <v>0</v>
      </c>
      <c r="S36" s="1"/>
      <c r="T36" s="1">
        <f>SUM(OSRRefT22_3x_0)</f>
        <v>0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3">
      <c r="A37" s="27"/>
      <c r="B37" s="12" t="str">
        <f>CONCATENATE("          ", "6305", " - ", "FREIGHT OUT")</f>
        <v xml:space="preserve">          6305 - FREIGHT OUT</v>
      </c>
      <c r="C37" s="12"/>
      <c r="D37" s="8"/>
      <c r="E37" s="3"/>
      <c r="F37" s="7">
        <f t="shared" si="16"/>
        <v>0</v>
      </c>
      <c r="G37" s="3"/>
      <c r="H37" s="8">
        <v>0</v>
      </c>
      <c r="I37" s="3"/>
      <c r="J37" s="7">
        <f t="shared" si="17"/>
        <v>0</v>
      </c>
      <c r="K37" s="3"/>
      <c r="L37" s="8">
        <f t="shared" si="18"/>
        <v>0</v>
      </c>
      <c r="M37" s="3"/>
      <c r="N37" s="7">
        <f t="shared" si="19"/>
        <v>0</v>
      </c>
      <c r="O37" s="12"/>
      <c r="P37" s="8"/>
      <c r="Q37" s="3"/>
      <c r="R37" s="7">
        <f t="shared" si="20"/>
        <v>0</v>
      </c>
      <c r="S37" s="3"/>
      <c r="T37" s="8">
        <v>0</v>
      </c>
      <c r="U37" s="3"/>
      <c r="V37" s="7">
        <f t="shared" si="21"/>
        <v>0</v>
      </c>
      <c r="W37" s="3"/>
      <c r="X37" s="8">
        <f t="shared" si="22"/>
        <v>0</v>
      </c>
      <c r="Y37" s="3"/>
      <c r="Z37" s="7">
        <f t="shared" si="23"/>
        <v>0</v>
      </c>
    </row>
    <row r="38" spans="1:26" s="29" customFormat="1" outlineLevel="1" collapsed="1" x14ac:dyDescent="0.3">
      <c r="A38" s="28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SUM(OSRRefD22_4x_0)</f>
        <v>0</v>
      </c>
      <c r="E38" s="1"/>
      <c r="F38" s="5">
        <f t="shared" si="16"/>
        <v>0</v>
      </c>
      <c r="G38" s="1"/>
      <c r="H38" s="1">
        <f>SUM(OSRRefH22_4x_0)</f>
        <v>719.55</v>
      </c>
      <c r="I38" s="1"/>
      <c r="J38" s="5">
        <f t="shared" si="17"/>
        <v>0</v>
      </c>
      <c r="K38" s="1"/>
      <c r="L38" s="1">
        <f t="shared" si="18"/>
        <v>-719.55</v>
      </c>
      <c r="M38" s="1"/>
      <c r="N38" s="5">
        <f t="shared" si="19"/>
        <v>-1</v>
      </c>
      <c r="O38" s="14"/>
      <c r="P38" s="1">
        <f>SUM(OSRRefP22_4x_0)</f>
        <v>0</v>
      </c>
      <c r="Q38" s="1"/>
      <c r="R38" s="5">
        <f t="shared" si="20"/>
        <v>0</v>
      </c>
      <c r="S38" s="1"/>
      <c r="T38" s="1">
        <f>SUM(OSRRefT22_4x_0)</f>
        <v>719.55</v>
      </c>
      <c r="U38" s="1"/>
      <c r="V38" s="5">
        <f t="shared" si="21"/>
        <v>0</v>
      </c>
      <c r="W38" s="1"/>
      <c r="X38" s="1">
        <f t="shared" si="22"/>
        <v>-719.55</v>
      </c>
      <c r="Y38" s="1"/>
      <c r="Z38" s="5">
        <f t="shared" si="23"/>
        <v>-1</v>
      </c>
    </row>
    <row r="39" spans="1:26" s="24" customFormat="1" hidden="1" outlineLevel="2" x14ac:dyDescent="0.3">
      <c r="A39" s="27"/>
      <c r="B39" s="12" t="str">
        <f>CONCATENATE("          ", "6279", " - ", "GENERAL EXPENSE")</f>
        <v xml:space="preserve">          6279 - GENERAL EXPENSE</v>
      </c>
      <c r="C39" s="12"/>
      <c r="D39" s="8"/>
      <c r="E39" s="3"/>
      <c r="F39" s="7">
        <f t="shared" si="16"/>
        <v>0</v>
      </c>
      <c r="G39" s="3"/>
      <c r="H39" s="8">
        <v>719.55</v>
      </c>
      <c r="I39" s="3"/>
      <c r="J39" s="7">
        <f t="shared" si="17"/>
        <v>0</v>
      </c>
      <c r="K39" s="3"/>
      <c r="L39" s="8">
        <f t="shared" si="18"/>
        <v>-719.55</v>
      </c>
      <c r="M39" s="3"/>
      <c r="N39" s="7">
        <f t="shared" si="19"/>
        <v>-1</v>
      </c>
      <c r="O39" s="12"/>
      <c r="P39" s="8"/>
      <c r="Q39" s="3"/>
      <c r="R39" s="7">
        <f t="shared" si="20"/>
        <v>0</v>
      </c>
      <c r="S39" s="3"/>
      <c r="T39" s="8">
        <v>719.55</v>
      </c>
      <c r="U39" s="3"/>
      <c r="V39" s="7">
        <f t="shared" si="21"/>
        <v>0</v>
      </c>
      <c r="W39" s="3"/>
      <c r="X39" s="8">
        <f t="shared" si="22"/>
        <v>-719.55</v>
      </c>
      <c r="Y39" s="3"/>
      <c r="Z39" s="7">
        <f t="shared" si="23"/>
        <v>-1</v>
      </c>
    </row>
    <row r="40" spans="1:26" s="29" customFormat="1" outlineLevel="1" collapsed="1" x14ac:dyDescent="0.3">
      <c r="A40" s="28"/>
      <c r="B40" s="14" t="str">
        <f>CONCATENATE("     ","Inventory Adjustment                              ")</f>
        <v xml:space="preserve">     Inventory Adjustment                              </v>
      </c>
      <c r="C40" s="14"/>
      <c r="D40" s="1">
        <f>SUM(OSRRefD22_5x_0)</f>
        <v>650</v>
      </c>
      <c r="E40" s="1"/>
      <c r="F40" s="5">
        <f t="shared" si="16"/>
        <v>0</v>
      </c>
      <c r="G40" s="1"/>
      <c r="H40" s="1">
        <f>SUM(OSRRefH22_5x_0)</f>
        <v>0</v>
      </c>
      <c r="I40" s="1"/>
      <c r="J40" s="5">
        <f t="shared" si="17"/>
        <v>0</v>
      </c>
      <c r="K40" s="1"/>
      <c r="L40" s="1">
        <f t="shared" si="18"/>
        <v>650</v>
      </c>
      <c r="M40" s="1"/>
      <c r="N40" s="5">
        <f t="shared" si="19"/>
        <v>0</v>
      </c>
      <c r="O40" s="14"/>
      <c r="P40" s="1">
        <f>SUM(OSRRefP22_5x_0)</f>
        <v>650</v>
      </c>
      <c r="Q40" s="1"/>
      <c r="R40" s="5">
        <f t="shared" si="20"/>
        <v>0</v>
      </c>
      <c r="S40" s="1"/>
      <c r="T40" s="1">
        <f>SUM(OSRRefT22_5x_0)</f>
        <v>0</v>
      </c>
      <c r="U40" s="1"/>
      <c r="V40" s="5">
        <f t="shared" si="21"/>
        <v>0</v>
      </c>
      <c r="W40" s="1"/>
      <c r="X40" s="1">
        <f t="shared" si="22"/>
        <v>650</v>
      </c>
      <c r="Y40" s="1"/>
      <c r="Z40" s="5">
        <f t="shared" si="23"/>
        <v>0</v>
      </c>
    </row>
    <row r="41" spans="1:26" s="24" customFormat="1" hidden="1" outlineLevel="2" x14ac:dyDescent="0.3">
      <c r="A41" s="27"/>
      <c r="B41" s="12" t="str">
        <f>CONCATENATE("          ", "6408", " - ", "INVENTORY ADJUSTMENT")</f>
        <v xml:space="preserve">          6408 - INVENTORY ADJUSTMENT</v>
      </c>
      <c r="C41" s="12"/>
      <c r="D41" s="8">
        <v>650</v>
      </c>
      <c r="E41" s="3"/>
      <c r="F41" s="7">
        <f t="shared" si="16"/>
        <v>0</v>
      </c>
      <c r="G41" s="3"/>
      <c r="H41" s="8"/>
      <c r="I41" s="3"/>
      <c r="J41" s="7">
        <f t="shared" si="17"/>
        <v>0</v>
      </c>
      <c r="K41" s="3"/>
      <c r="L41" s="8">
        <f t="shared" si="18"/>
        <v>650</v>
      </c>
      <c r="M41" s="3"/>
      <c r="N41" s="7">
        <f t="shared" si="19"/>
        <v>0</v>
      </c>
      <c r="O41" s="12"/>
      <c r="P41" s="8">
        <v>650</v>
      </c>
      <c r="Q41" s="3"/>
      <c r="R41" s="7">
        <f t="shared" si="20"/>
        <v>0</v>
      </c>
      <c r="S41" s="3"/>
      <c r="T41" s="8"/>
      <c r="U41" s="3"/>
      <c r="V41" s="7">
        <f t="shared" si="21"/>
        <v>0</v>
      </c>
      <c r="W41" s="3"/>
      <c r="X41" s="8">
        <f t="shared" si="22"/>
        <v>650</v>
      </c>
      <c r="Y41" s="3"/>
      <c r="Z41" s="7">
        <f t="shared" si="23"/>
        <v>0</v>
      </c>
    </row>
    <row r="42" spans="1:26" s="29" customFormat="1" outlineLevel="1" collapsed="1" x14ac:dyDescent="0.3">
      <c r="A42" s="28"/>
      <c r="B42" s="14" t="str">
        <f>CONCATENATE("     ","Services                                          ")</f>
        <v xml:space="preserve">     Services                                          </v>
      </c>
      <c r="C42" s="14"/>
      <c r="D42" s="1">
        <f>SUM(OSRRefD22_6x_0)</f>
        <v>0</v>
      </c>
      <c r="E42" s="1"/>
      <c r="F42" s="5">
        <f t="shared" si="16"/>
        <v>0</v>
      </c>
      <c r="G42" s="1"/>
      <c r="H42" s="1">
        <f>SUM(OSRRefH22_6x_0)</f>
        <v>-113.5</v>
      </c>
      <c r="I42" s="1"/>
      <c r="J42" s="5">
        <f t="shared" si="17"/>
        <v>0</v>
      </c>
      <c r="K42" s="1"/>
      <c r="L42" s="1">
        <f t="shared" si="18"/>
        <v>113.5</v>
      </c>
      <c r="M42" s="1"/>
      <c r="N42" s="5">
        <f t="shared" si="19"/>
        <v>-1</v>
      </c>
      <c r="O42" s="14"/>
      <c r="P42" s="1">
        <f>SUM(OSRRefP22_6x_0)</f>
        <v>0</v>
      </c>
      <c r="Q42" s="1"/>
      <c r="R42" s="5">
        <f t="shared" si="20"/>
        <v>0</v>
      </c>
      <c r="S42" s="1"/>
      <c r="T42" s="1">
        <f>SUM(OSRRefT22_6x_0)</f>
        <v>-113.5</v>
      </c>
      <c r="U42" s="1"/>
      <c r="V42" s="5">
        <f t="shared" si="21"/>
        <v>0</v>
      </c>
      <c r="W42" s="1"/>
      <c r="X42" s="1">
        <f t="shared" si="22"/>
        <v>113.5</v>
      </c>
      <c r="Y42" s="1"/>
      <c r="Z42" s="5">
        <f t="shared" si="23"/>
        <v>-1</v>
      </c>
    </row>
    <row r="43" spans="1:26" s="24" customFormat="1" hidden="1" outlineLevel="2" x14ac:dyDescent="0.3">
      <c r="A43" s="27"/>
      <c r="B43" s="12" t="str">
        <f>CONCATENATE("          ", "6282", " - ", "JANITORIAL/EXTERMINATOR EXPENS")</f>
        <v xml:space="preserve">          6282 - JANITORIAL/EXTERMINATOR EXPENS</v>
      </c>
      <c r="C43" s="12"/>
      <c r="D43" s="8"/>
      <c r="E43" s="3"/>
      <c r="F43" s="7">
        <f t="shared" si="16"/>
        <v>0</v>
      </c>
      <c r="G43" s="3"/>
      <c r="H43" s="8">
        <v>44</v>
      </c>
      <c r="I43" s="3"/>
      <c r="J43" s="7">
        <f t="shared" si="17"/>
        <v>0</v>
      </c>
      <c r="K43" s="3"/>
      <c r="L43" s="8">
        <f t="shared" si="18"/>
        <v>-44</v>
      </c>
      <c r="M43" s="3"/>
      <c r="N43" s="7">
        <f t="shared" si="19"/>
        <v>-1</v>
      </c>
      <c r="O43" s="12"/>
      <c r="P43" s="8"/>
      <c r="Q43" s="3"/>
      <c r="R43" s="7">
        <f t="shared" si="20"/>
        <v>0</v>
      </c>
      <c r="S43" s="3"/>
      <c r="T43" s="8">
        <v>44</v>
      </c>
      <c r="U43" s="3"/>
      <c r="V43" s="7">
        <f t="shared" si="21"/>
        <v>0</v>
      </c>
      <c r="W43" s="3"/>
      <c r="X43" s="8">
        <f t="shared" si="22"/>
        <v>-44</v>
      </c>
      <c r="Y43" s="3"/>
      <c r="Z43" s="7">
        <f t="shared" si="23"/>
        <v>-1</v>
      </c>
    </row>
    <row r="44" spans="1:26" s="24" customFormat="1" hidden="1" outlineLevel="2" x14ac:dyDescent="0.3">
      <c r="A44" s="27"/>
      <c r="B44" s="12" t="str">
        <f>CONCATENATE("          ", "6285", " - ", "JANITORIAL SERVICES")</f>
        <v xml:space="preserve">          6285 - JANITORIAL SERVICES</v>
      </c>
      <c r="C44" s="12"/>
      <c r="D44" s="8"/>
      <c r="E44" s="3"/>
      <c r="F44" s="7">
        <f t="shared" si="16"/>
        <v>0</v>
      </c>
      <c r="G44" s="3"/>
      <c r="H44" s="8">
        <v>-157.5</v>
      </c>
      <c r="I44" s="3"/>
      <c r="J44" s="7">
        <f t="shared" si="17"/>
        <v>0</v>
      </c>
      <c r="K44" s="3"/>
      <c r="L44" s="8">
        <f t="shared" si="18"/>
        <v>157.5</v>
      </c>
      <c r="M44" s="3"/>
      <c r="N44" s="7">
        <f t="shared" si="19"/>
        <v>-1</v>
      </c>
      <c r="O44" s="12"/>
      <c r="P44" s="8"/>
      <c r="Q44" s="3"/>
      <c r="R44" s="7">
        <f t="shared" si="20"/>
        <v>0</v>
      </c>
      <c r="S44" s="3"/>
      <c r="T44" s="8">
        <v>-157.5</v>
      </c>
      <c r="U44" s="3"/>
      <c r="V44" s="7">
        <f t="shared" si="21"/>
        <v>0</v>
      </c>
      <c r="W44" s="3"/>
      <c r="X44" s="8">
        <f t="shared" si="22"/>
        <v>157.5</v>
      </c>
      <c r="Y44" s="3"/>
      <c r="Z44" s="7">
        <f t="shared" si="23"/>
        <v>-1</v>
      </c>
    </row>
    <row r="45" spans="1:26" s="29" customFormat="1" outlineLevel="1" collapsed="1" x14ac:dyDescent="0.3">
      <c r="A45" s="28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SUM(OSRRefD22_7x_0)</f>
        <v>0</v>
      </c>
      <c r="E45" s="1"/>
      <c r="F45" s="5">
        <f t="shared" ref="F45:F48" si="24">IF(D$12=0,0,D45/D$12)</f>
        <v>0</v>
      </c>
      <c r="G45" s="1"/>
      <c r="H45" s="1">
        <f>SUM(OSRRefH22_7x_0)</f>
        <v>444.3</v>
      </c>
      <c r="I45" s="1"/>
      <c r="J45" s="5">
        <f t="shared" ref="J45:J48" si="25">IF(H$12=0,0,H45/H$12)</f>
        <v>0</v>
      </c>
      <c r="K45" s="1"/>
      <c r="L45" s="1">
        <f t="shared" ref="L45:L48" si="26">+D45-H45</f>
        <v>-444.3</v>
      </c>
      <c r="M45" s="1"/>
      <c r="N45" s="5">
        <f t="shared" ref="N45:N48" si="27">IF(H45=0,0,L45/H45)</f>
        <v>-1</v>
      </c>
      <c r="O45" s="14"/>
      <c r="P45" s="1">
        <f>SUM(OSRRefP22_7x_0)</f>
        <v>0</v>
      </c>
      <c r="Q45" s="1"/>
      <c r="R45" s="5">
        <f t="shared" ref="R45:R48" si="28">IF(P$12=0,0,P45/P$12)</f>
        <v>0</v>
      </c>
      <c r="S45" s="1"/>
      <c r="T45" s="1">
        <f>SUM(OSRRefT22_7x_0)</f>
        <v>444.3</v>
      </c>
      <c r="U45" s="1"/>
      <c r="V45" s="5">
        <f t="shared" ref="V45:V48" si="29">IF(T$12=0,0,T45/T$12)</f>
        <v>0</v>
      </c>
      <c r="W45" s="1"/>
      <c r="X45" s="1">
        <f t="shared" ref="X45:X48" si="30">+P45-T45</f>
        <v>-444.3</v>
      </c>
      <c r="Y45" s="1"/>
      <c r="Z45" s="5">
        <f t="shared" ref="Z45:Z48" si="31">IF(T45=0,0,X45/T45)</f>
        <v>-1</v>
      </c>
    </row>
    <row r="46" spans="1:26" s="24" customFormat="1" hidden="1" outlineLevel="2" x14ac:dyDescent="0.3">
      <c r="A46" s="27"/>
      <c r="B46" s="12" t="str">
        <f>CONCATENATE("          ", "6235", " - ", "COVID-19 EXPENSES")</f>
        <v xml:space="preserve">          6235 - COVID-19 EXPENSES</v>
      </c>
      <c r="C46" s="12"/>
      <c r="D46" s="8"/>
      <c r="E46" s="3"/>
      <c r="F46" s="7">
        <f t="shared" si="24"/>
        <v>0</v>
      </c>
      <c r="G46" s="3"/>
      <c r="H46" s="8">
        <v>444.3</v>
      </c>
      <c r="I46" s="3"/>
      <c r="J46" s="7">
        <f t="shared" si="25"/>
        <v>0</v>
      </c>
      <c r="K46" s="3"/>
      <c r="L46" s="8">
        <f t="shared" si="26"/>
        <v>-444.3</v>
      </c>
      <c r="M46" s="3"/>
      <c r="N46" s="7">
        <f t="shared" si="27"/>
        <v>-1</v>
      </c>
      <c r="O46" s="12"/>
      <c r="P46" s="8"/>
      <c r="Q46" s="3"/>
      <c r="R46" s="7">
        <f t="shared" si="28"/>
        <v>0</v>
      </c>
      <c r="S46" s="3"/>
      <c r="T46" s="8">
        <v>444.3</v>
      </c>
      <c r="U46" s="3"/>
      <c r="V46" s="7">
        <f t="shared" si="29"/>
        <v>0</v>
      </c>
      <c r="W46" s="3"/>
      <c r="X46" s="8">
        <f t="shared" si="30"/>
        <v>-444.3</v>
      </c>
      <c r="Y46" s="3"/>
      <c r="Z46" s="7">
        <f t="shared" si="31"/>
        <v>-1</v>
      </c>
    </row>
    <row r="47" spans="1:26" s="29" customFormat="1" outlineLevel="1" collapsed="1" x14ac:dyDescent="0.3">
      <c r="A47" s="28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SUM(OSRRefD22_8x_0)</f>
        <v>13</v>
      </c>
      <c r="E47" s="1"/>
      <c r="F47" s="5">
        <f t="shared" si="24"/>
        <v>0</v>
      </c>
      <c r="G47" s="1"/>
      <c r="H47" s="1">
        <f>SUM(OSRRefH22_8x_0)</f>
        <v>53</v>
      </c>
      <c r="I47" s="1"/>
      <c r="J47" s="5">
        <f t="shared" si="25"/>
        <v>0</v>
      </c>
      <c r="K47" s="1"/>
      <c r="L47" s="1">
        <f t="shared" si="26"/>
        <v>-40</v>
      </c>
      <c r="M47" s="1"/>
      <c r="N47" s="5">
        <f t="shared" si="27"/>
        <v>-0.75471698113207553</v>
      </c>
      <c r="O47" s="14"/>
      <c r="P47" s="1">
        <f>SUM(OSRRefP22_8x_0)</f>
        <v>13</v>
      </c>
      <c r="Q47" s="1"/>
      <c r="R47" s="5">
        <f t="shared" si="28"/>
        <v>0</v>
      </c>
      <c r="S47" s="1"/>
      <c r="T47" s="1">
        <f>SUM(OSRRefT22_8x_0)</f>
        <v>53</v>
      </c>
      <c r="U47" s="1"/>
      <c r="V47" s="5">
        <f t="shared" si="29"/>
        <v>0</v>
      </c>
      <c r="W47" s="1"/>
      <c r="X47" s="1">
        <f t="shared" si="30"/>
        <v>-40</v>
      </c>
      <c r="Y47" s="1"/>
      <c r="Z47" s="5">
        <f t="shared" si="31"/>
        <v>-0.75471698113207553</v>
      </c>
    </row>
    <row r="48" spans="1:26" s="24" customFormat="1" hidden="1" outlineLevel="2" x14ac:dyDescent="0.3">
      <c r="A48" s="27"/>
      <c r="B48" s="12" t="str">
        <f>CONCATENATE("          ", "6309", " - ", "TELEPHONE")</f>
        <v xml:space="preserve">          6309 - TELEPHONE</v>
      </c>
      <c r="C48" s="12"/>
      <c r="D48" s="8">
        <v>13</v>
      </c>
      <c r="E48" s="3"/>
      <c r="F48" s="7">
        <f t="shared" si="24"/>
        <v>0</v>
      </c>
      <c r="G48" s="3"/>
      <c r="H48" s="8">
        <v>53</v>
      </c>
      <c r="I48" s="3"/>
      <c r="J48" s="7">
        <f t="shared" si="25"/>
        <v>0</v>
      </c>
      <c r="K48" s="3"/>
      <c r="L48" s="8">
        <f t="shared" si="26"/>
        <v>-40</v>
      </c>
      <c r="M48" s="3"/>
      <c r="N48" s="7">
        <f t="shared" si="27"/>
        <v>-0.75471698113207553</v>
      </c>
      <c r="O48" s="12"/>
      <c r="P48" s="8">
        <v>13</v>
      </c>
      <c r="Q48" s="3"/>
      <c r="R48" s="7">
        <f t="shared" si="28"/>
        <v>0</v>
      </c>
      <c r="S48" s="3"/>
      <c r="T48" s="8">
        <v>53</v>
      </c>
      <c r="U48" s="3"/>
      <c r="V48" s="7">
        <f t="shared" si="29"/>
        <v>0</v>
      </c>
      <c r="W48" s="3"/>
      <c r="X48" s="8">
        <f t="shared" si="30"/>
        <v>-40</v>
      </c>
      <c r="Y48" s="3"/>
      <c r="Z48" s="7">
        <f t="shared" si="31"/>
        <v>-0.75471698113207553</v>
      </c>
    </row>
    <row r="49" spans="1:26" s="53" customFormat="1" x14ac:dyDescent="0.3">
      <c r="A49" s="37"/>
      <c r="B49" s="37"/>
      <c r="C49" s="37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3">
      <c r="A50" s="10"/>
      <c r="B50" s="25" t="s">
        <v>292</v>
      </c>
      <c r="C50" s="10"/>
      <c r="D50" s="4">
        <f>SUM(0)</f>
        <v>0</v>
      </c>
      <c r="E50" s="4"/>
      <c r="F50" s="11">
        <f>IF(D$12=0,0,D50/D$12)</f>
        <v>0</v>
      </c>
      <c r="G50" s="4"/>
      <c r="H50" s="4">
        <f>SUM(0)</f>
        <v>0</v>
      </c>
      <c r="I50" s="4"/>
      <c r="J50" s="11">
        <f>IF(H$12=0,0,H50/H$12)</f>
        <v>0</v>
      </c>
      <c r="K50" s="4"/>
      <c r="L50" s="4">
        <f>+D50-H50</f>
        <v>0</v>
      </c>
      <c r="M50" s="4"/>
      <c r="N50" s="11">
        <f>IF(H50=0,0,L50/H50)</f>
        <v>0</v>
      </c>
      <c r="O50" s="10"/>
      <c r="P50" s="4">
        <f>SUM(0)</f>
        <v>0</v>
      </c>
      <c r="Q50" s="4"/>
      <c r="R50" s="11">
        <f>IF(P$12=0,0,P50/P$12)</f>
        <v>0</v>
      </c>
      <c r="S50" s="4"/>
      <c r="T50" s="4">
        <f>SUM(0)</f>
        <v>0</v>
      </c>
      <c r="U50" s="4"/>
      <c r="V50" s="11">
        <f>IF(T$12=0,0,T50/T$12)</f>
        <v>0</v>
      </c>
      <c r="W50" s="4"/>
      <c r="X50" s="4">
        <f>+P50-T50</f>
        <v>0</v>
      </c>
      <c r="Y50" s="4"/>
      <c r="Z50" s="11">
        <f>IF(T50=0,0,X50/T50)</f>
        <v>0</v>
      </c>
    </row>
    <row r="51" spans="1:26" x14ac:dyDescent="0.3">
      <c r="A51" s="9"/>
      <c r="B51" s="10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10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x14ac:dyDescent="0.3">
      <c r="A52" s="10"/>
      <c r="B52" s="26" t="s">
        <v>276</v>
      </c>
      <c r="C52" s="26"/>
      <c r="D52" s="20">
        <f>+D27-D29+D50</f>
        <v>-763</v>
      </c>
      <c r="E52" s="13"/>
      <c r="F52" s="21">
        <f>IF(D$12=0,0,D52/D$12)</f>
        <v>0</v>
      </c>
      <c r="G52" s="13"/>
      <c r="H52" s="20">
        <f>+H27-H29+H50</f>
        <v>-1141.3999999999999</v>
      </c>
      <c r="I52" s="13"/>
      <c r="J52" s="21">
        <f>IF(H$12=0,0,H52/H$12)</f>
        <v>0</v>
      </c>
      <c r="K52" s="16"/>
      <c r="L52" s="20">
        <f>+D52-H52</f>
        <v>378.39999999999986</v>
      </c>
      <c r="M52" s="16"/>
      <c r="N52" s="21">
        <f>IF(H52=0,0,L52/H52)</f>
        <v>-0.3315226914315752</v>
      </c>
      <c r="O52" s="25"/>
      <c r="P52" s="20">
        <f>+P27-P29+P50</f>
        <v>-763</v>
      </c>
      <c r="Q52" s="13"/>
      <c r="R52" s="21">
        <f>IF(P$12=0,0,P52/P$12)</f>
        <v>0</v>
      </c>
      <c r="S52" s="13"/>
      <c r="T52" s="20">
        <f>+T27-T29+T50</f>
        <v>-1141.3999999999999</v>
      </c>
      <c r="U52" s="13"/>
      <c r="V52" s="21">
        <f>IF(T$12=0,0,T52/T$12)</f>
        <v>0</v>
      </c>
      <c r="W52" s="16"/>
      <c r="X52" s="20">
        <f>+P52-T52</f>
        <v>378.39999999999986</v>
      </c>
      <c r="Y52" s="16"/>
      <c r="Z52" s="21">
        <f>IF(T52=0,0,X52/T52)</f>
        <v>-0.3315226914315752</v>
      </c>
    </row>
    <row r="53" spans="1:26" x14ac:dyDescent="0.3">
      <c r="A53" s="9"/>
      <c r="B53" s="10"/>
      <c r="C53" s="9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x14ac:dyDescent="0.3">
      <c r="A54" s="51"/>
      <c r="B54" s="10" t="s">
        <v>127</v>
      </c>
      <c r="C54" s="10"/>
      <c r="D54" s="4"/>
      <c r="E54" s="4"/>
      <c r="F54" s="11">
        <f>IF(D$12=0,0,D54/D$12)</f>
        <v>0</v>
      </c>
      <c r="G54" s="4"/>
      <c r="H54" s="4"/>
      <c r="I54" s="4"/>
      <c r="J54" s="11">
        <f>IF(H$12=0,0,H54/H$12)</f>
        <v>0</v>
      </c>
      <c r="K54" s="4"/>
      <c r="L54" s="4">
        <f>+D54-H54</f>
        <v>0</v>
      </c>
      <c r="M54" s="4"/>
      <c r="N54" s="11">
        <f>IF(H54=0,0,L54/H54)</f>
        <v>0</v>
      </c>
      <c r="O54" s="10"/>
      <c r="P54" s="4"/>
      <c r="Q54" s="4"/>
      <c r="R54" s="11">
        <f>IF(P$12=0,0,P54/P$12)</f>
        <v>0</v>
      </c>
      <c r="S54" s="4"/>
      <c r="T54" s="4"/>
      <c r="U54" s="4"/>
      <c r="V54" s="11">
        <f>IF(T$12=0,0,T54/T$12)</f>
        <v>0</v>
      </c>
      <c r="W54" s="4"/>
      <c r="X54" s="4">
        <f>+P54-T54</f>
        <v>0</v>
      </c>
      <c r="Y54" s="4"/>
      <c r="Z54" s="11">
        <f>IF(T54=0,0,X54/T54)</f>
        <v>0</v>
      </c>
    </row>
    <row r="55" spans="1:26" x14ac:dyDescent="0.3">
      <c r="A55" s="9"/>
      <c r="B55" s="10"/>
      <c r="C55" s="10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10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23" customFormat="1" ht="15" thickBot="1" x14ac:dyDescent="0.35">
      <c r="A56" s="10"/>
      <c r="B56" s="26" t="s">
        <v>125</v>
      </c>
      <c r="C56" s="26"/>
      <c r="D56" s="36">
        <f>+D52-D54</f>
        <v>-763</v>
      </c>
      <c r="E56" s="13"/>
      <c r="F56" s="34">
        <f>IF(D$12=0,0,D56/D$12)</f>
        <v>0</v>
      </c>
      <c r="G56" s="13"/>
      <c r="H56" s="36">
        <f>+H52-H54</f>
        <v>-1141.3999999999999</v>
      </c>
      <c r="I56" s="13"/>
      <c r="J56" s="34">
        <f>IF(H$12=0,0,H56/H$12)</f>
        <v>0</v>
      </c>
      <c r="K56" s="16"/>
      <c r="L56" s="36">
        <f>D56-H56</f>
        <v>378.39999999999986</v>
      </c>
      <c r="M56" s="16"/>
      <c r="N56" s="34">
        <f>IF(H56=0,0,L56/H56)</f>
        <v>-0.3315226914315752</v>
      </c>
      <c r="O56" s="25"/>
      <c r="P56" s="36">
        <f>+P52-P54</f>
        <v>-763</v>
      </c>
      <c r="Q56" s="13"/>
      <c r="R56" s="34">
        <f>IF(P$12=0,0,P56/P$12)</f>
        <v>0</v>
      </c>
      <c r="S56" s="13"/>
      <c r="T56" s="36">
        <f>+T52-T54</f>
        <v>-1141.3999999999999</v>
      </c>
      <c r="U56" s="13"/>
      <c r="V56" s="34">
        <f>IF(T$12=0,0,T56/T$12)</f>
        <v>0</v>
      </c>
      <c r="W56" s="16"/>
      <c r="X56" s="36">
        <f>P56-T56</f>
        <v>378.39999999999986</v>
      </c>
      <c r="Y56" s="16"/>
      <c r="Z56" s="34">
        <f>IF(T56=0,0,X56/T56)</f>
        <v>-0.3315226914315752</v>
      </c>
    </row>
    <row r="57" spans="1:26" ht="15" thickTop="1" x14ac:dyDescent="0.3">
      <c r="A57" s="9"/>
      <c r="B57" s="9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x14ac:dyDescent="0.3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ht="15" thickBot="1" x14ac:dyDescent="0.35">
      <c r="A59" s="10"/>
      <c r="B59" s="26" t="s">
        <v>293</v>
      </c>
      <c r="C59" s="26"/>
      <c r="D59" s="31">
        <f>SUM(D56:D58)</f>
        <v>-763</v>
      </c>
      <c r="E59" s="13"/>
      <c r="F59" s="33">
        <f>IF(D$12=0,0,D59/D$12)</f>
        <v>0</v>
      </c>
      <c r="G59" s="13"/>
      <c r="H59" s="31">
        <f>SUM(H56:H58)</f>
        <v>-1141.3999999999999</v>
      </c>
      <c r="I59" s="13"/>
      <c r="J59" s="33">
        <f>IF(H$12=0,0,H59/H$12)</f>
        <v>0</v>
      </c>
      <c r="K59" s="16"/>
      <c r="L59" s="31">
        <f>+D59-H59</f>
        <v>378.39999999999986</v>
      </c>
      <c r="M59" s="16"/>
      <c r="N59" s="33">
        <f>IF(H59=0,0,L59/H59)</f>
        <v>-0.3315226914315752</v>
      </c>
      <c r="O59" s="25"/>
      <c r="P59" s="31">
        <f>SUM(P56:P58)</f>
        <v>-763</v>
      </c>
      <c r="Q59" s="13"/>
      <c r="R59" s="33">
        <f>IF(P$12=0,0,P59/P$12)</f>
        <v>0</v>
      </c>
      <c r="S59" s="13"/>
      <c r="T59" s="31">
        <f>SUM(T56:T58)</f>
        <v>-1141.3999999999999</v>
      </c>
      <c r="U59" s="13"/>
      <c r="V59" s="33">
        <f>IF(T$12=0,0,T59/T$12)</f>
        <v>0</v>
      </c>
      <c r="W59" s="16"/>
      <c r="X59" s="31">
        <f>+P59-T59</f>
        <v>378.39999999999986</v>
      </c>
      <c r="Y59" s="16"/>
      <c r="Z59" s="33">
        <f>IF(T59=0,0,X59/T59)</f>
        <v>-0.3315226914315752</v>
      </c>
    </row>
    <row r="60" spans="1:26" ht="15" thickTop="1" x14ac:dyDescent="0.3">
      <c r="A60" s="9"/>
      <c r="C60" s="9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59">
        <v>44462.666919178242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57" t="s">
        <v>56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A63" s="9"/>
      <c r="B63" s="61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3"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0</v>
      </c>
      <c r="E14" s="4"/>
      <c r="F14" s="11">
        <f t="shared" ref="F14:F15" si="0">IF(D$12=0,0,D14/D$12)</f>
        <v>0</v>
      </c>
      <c r="G14" s="4"/>
      <c r="H14" s="4">
        <f>SUM(OSRRefH16x_0)</f>
        <v>38.049999999999997</v>
      </c>
      <c r="I14" s="4"/>
      <c r="J14" s="11">
        <f t="shared" ref="J14:J15" si="1">IF(H$12=0,0,H14/H$12)</f>
        <v>0</v>
      </c>
      <c r="K14" s="4"/>
      <c r="L14" s="4">
        <f t="shared" ref="L14:L15" si="2">+D14-H14</f>
        <v>-38.049999999999997</v>
      </c>
      <c r="M14" s="4"/>
      <c r="N14" s="11">
        <f t="shared" ref="N14:N15" si="3">IF(H14=0,0,L14/H14)</f>
        <v>-1</v>
      </c>
      <c r="O14" s="10"/>
      <c r="P14" s="4">
        <f>SUM(OSRRefP16x_0)</f>
        <v>0</v>
      </c>
      <c r="Q14" s="4"/>
      <c r="R14" s="11">
        <f t="shared" ref="R14:R15" si="4">IF(P$12=0,0,P14/P$12)</f>
        <v>0</v>
      </c>
      <c r="S14" s="4"/>
      <c r="T14" s="4">
        <f>SUM(OSRRefT16x_0)</f>
        <v>38.049999999999997</v>
      </c>
      <c r="U14" s="4"/>
      <c r="V14" s="11">
        <f t="shared" ref="V14:V15" si="5">IF(T$12=0,0,T14/T$12)</f>
        <v>0</v>
      </c>
      <c r="W14" s="4"/>
      <c r="X14" s="4">
        <f t="shared" ref="X14:X15" si="6">+P14-T14</f>
        <v>-38.049999999999997</v>
      </c>
      <c r="Y14" s="4"/>
      <c r="Z14" s="11">
        <f t="shared" ref="Z14:Z15" si="7">IF(T14=0,0,X14/T14)</f>
        <v>-1</v>
      </c>
    </row>
    <row r="15" spans="1:26" s="24" customFormat="1" hidden="1" outlineLevel="1" x14ac:dyDescent="0.3">
      <c r="A15" s="50"/>
      <c r="B15" s="12" t="str">
        <f>CONCATENATE("          ", "5528", " - ", "FREIGHT-IN-ART/TECH")</f>
        <v xml:space="preserve">          5528 - FREIGHT-IN-ART/TECH</v>
      </c>
      <c r="C15" s="12"/>
      <c r="D15" s="3"/>
      <c r="E15" s="3"/>
      <c r="F15" s="22">
        <f t="shared" si="0"/>
        <v>0</v>
      </c>
      <c r="G15" s="3"/>
      <c r="H15" s="3">
        <v>38.049999999999997</v>
      </c>
      <c r="I15" s="3"/>
      <c r="J15" s="22">
        <f t="shared" si="1"/>
        <v>0</v>
      </c>
      <c r="K15" s="3"/>
      <c r="L15" s="3">
        <f t="shared" si="2"/>
        <v>-38.049999999999997</v>
      </c>
      <c r="M15" s="3"/>
      <c r="N15" s="22">
        <f t="shared" si="3"/>
        <v>-1</v>
      </c>
      <c r="O15" s="12"/>
      <c r="P15" s="3"/>
      <c r="Q15" s="3"/>
      <c r="R15" s="22">
        <f t="shared" si="4"/>
        <v>0</v>
      </c>
      <c r="S15" s="3"/>
      <c r="T15" s="3">
        <v>38.049999999999997</v>
      </c>
      <c r="U15" s="3"/>
      <c r="V15" s="22">
        <f t="shared" si="5"/>
        <v>0</v>
      </c>
      <c r="W15" s="3"/>
      <c r="X15" s="3">
        <f t="shared" si="6"/>
        <v>-38.049999999999997</v>
      </c>
      <c r="Y15" s="3"/>
      <c r="Z15" s="22">
        <f t="shared" si="7"/>
        <v>-1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-38.049999999999997</v>
      </c>
      <c r="I17" s="13"/>
      <c r="J17" s="21">
        <f>IF(H$12=0,0,H17/H$12)</f>
        <v>0</v>
      </c>
      <c r="K17" s="16"/>
      <c r="L17" s="20">
        <f>+D17-H17</f>
        <v>38.049999999999997</v>
      </c>
      <c r="M17" s="16"/>
      <c r="N17" s="21">
        <f>IF(H17=0,0,L17/H17)</f>
        <v>-1</v>
      </c>
      <c r="O17" s="25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-38.049999999999997</v>
      </c>
      <c r="U17" s="13"/>
      <c r="V17" s="21">
        <f>IF(T$12=0,0,T17/T$12)</f>
        <v>0</v>
      </c>
      <c r="W17" s="16"/>
      <c r="X17" s="20">
        <f>+P17-T17</f>
        <v>38.049999999999997</v>
      </c>
      <c r="Y17" s="16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763</v>
      </c>
      <c r="E19" s="19"/>
      <c r="F19" s="35">
        <f t="shared" ref="F19:F28" si="8">IF(D$12=0,0,D19/D$12)</f>
        <v>0</v>
      </c>
      <c r="G19" s="19"/>
      <c r="H19" s="19">
        <f>SUM(OSRRefH22x_0)</f>
        <v>1103.3499999999999</v>
      </c>
      <c r="I19" s="19"/>
      <c r="J19" s="35">
        <f t="shared" ref="J19:J28" si="9">IF(H$12=0,0,H19/H$12)</f>
        <v>0</v>
      </c>
      <c r="K19" s="4"/>
      <c r="L19" s="19">
        <f t="shared" ref="L19:L28" si="10">+D19-H19</f>
        <v>-340.34999999999991</v>
      </c>
      <c r="M19" s="4"/>
      <c r="N19" s="35">
        <f t="shared" ref="N19:N28" si="11">IF(H19=0,0,L19/H19)</f>
        <v>-0.30846966057914527</v>
      </c>
      <c r="O19" s="10"/>
      <c r="P19" s="19">
        <f>SUM(OSRRefP22x_0)</f>
        <v>763</v>
      </c>
      <c r="Q19" s="19"/>
      <c r="R19" s="35">
        <f t="shared" ref="R19:R28" si="12">IF(P$12=0,0,P19/P$12)</f>
        <v>0</v>
      </c>
      <c r="S19" s="19"/>
      <c r="T19" s="19">
        <f>SUM(OSRRefT22x_0)</f>
        <v>1103.3499999999999</v>
      </c>
      <c r="U19" s="19"/>
      <c r="V19" s="35">
        <f t="shared" ref="V19:V28" si="13">IF(T$12=0,0,T19/T$12)</f>
        <v>0</v>
      </c>
      <c r="W19" s="4"/>
      <c r="X19" s="19">
        <f t="shared" ref="X19:X28" si="14">+P19-T19</f>
        <v>-340.34999999999991</v>
      </c>
      <c r="Y19" s="4"/>
      <c r="Z19" s="35">
        <f t="shared" ref="Z19:Z28" si="15">IF(T19=0,0,X19/T19)</f>
        <v>-0.30846966057914527</v>
      </c>
    </row>
    <row r="20" spans="1:26" s="29" customFormat="1" outlineLevel="1" collapsed="1" x14ac:dyDescent="0.3">
      <c r="A20" s="28"/>
      <c r="B20" s="14" t="str">
        <f>CONCATENATE("     ","Advertising/Promo                                 ")</f>
        <v xml:space="preserve">     Advertising/Promo                                 </v>
      </c>
      <c r="C20" s="14"/>
      <c r="D20" s="1">
        <f>SUM(OSRRefD22_0x_0)</f>
        <v>100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100</v>
      </c>
      <c r="M20" s="1"/>
      <c r="N20" s="5">
        <f t="shared" si="11"/>
        <v>0</v>
      </c>
      <c r="O20" s="14"/>
      <c r="P20" s="1">
        <f>SUM(OSRRefP22_0x_0)</f>
        <v>100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100</v>
      </c>
      <c r="Y20" s="1"/>
      <c r="Z20" s="5">
        <f t="shared" si="15"/>
        <v>0</v>
      </c>
    </row>
    <row r="21" spans="1:26" s="24" customFormat="1" hidden="1" outlineLevel="2" x14ac:dyDescent="0.3">
      <c r="A21" s="27"/>
      <c r="B21" s="12" t="str">
        <f>CONCATENATE("          ", "6362", " - ", "ADVERTISING EXPENSE")</f>
        <v xml:space="preserve">          6362 - ADVERTISING EXPENSE</v>
      </c>
      <c r="C21" s="12"/>
      <c r="D21" s="8">
        <v>100</v>
      </c>
      <c r="E21" s="3"/>
      <c r="F21" s="7">
        <f t="shared" si="8"/>
        <v>0</v>
      </c>
      <c r="G21" s="3"/>
      <c r="H21" s="8"/>
      <c r="I21" s="3"/>
      <c r="J21" s="7">
        <f t="shared" si="9"/>
        <v>0</v>
      </c>
      <c r="K21" s="3"/>
      <c r="L21" s="8">
        <f t="shared" si="10"/>
        <v>100</v>
      </c>
      <c r="M21" s="3"/>
      <c r="N21" s="7">
        <f t="shared" si="11"/>
        <v>0</v>
      </c>
      <c r="O21" s="12"/>
      <c r="P21" s="8">
        <v>100</v>
      </c>
      <c r="Q21" s="3"/>
      <c r="R21" s="7">
        <f t="shared" si="12"/>
        <v>0</v>
      </c>
      <c r="S21" s="3"/>
      <c r="T21" s="8"/>
      <c r="U21" s="3"/>
      <c r="V21" s="7">
        <f t="shared" si="13"/>
        <v>0</v>
      </c>
      <c r="W21" s="3"/>
      <c r="X21" s="8">
        <f t="shared" si="14"/>
        <v>100</v>
      </c>
      <c r="Y21" s="3"/>
      <c r="Z21" s="7">
        <f t="shared" si="15"/>
        <v>0</v>
      </c>
    </row>
    <row r="22" spans="1:26" s="29" customFormat="1" outlineLevel="1" collapsed="1" x14ac:dyDescent="0.3">
      <c r="A22" s="28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si="8"/>
        <v>0</v>
      </c>
      <c r="G22" s="1"/>
      <c r="H22" s="1">
        <f>SUM(OSRRefH22_1x_0)</f>
        <v>719.55</v>
      </c>
      <c r="I22" s="1"/>
      <c r="J22" s="5">
        <f t="shared" si="9"/>
        <v>0</v>
      </c>
      <c r="K22" s="1"/>
      <c r="L22" s="1">
        <f t="shared" si="10"/>
        <v>-719.55</v>
      </c>
      <c r="M22" s="1"/>
      <c r="N22" s="5">
        <f t="shared" si="11"/>
        <v>-1</v>
      </c>
      <c r="O22" s="14"/>
      <c r="P22" s="1">
        <f>SUM(OSRRefP22_1x_0)</f>
        <v>0</v>
      </c>
      <c r="Q22" s="1"/>
      <c r="R22" s="5">
        <f t="shared" si="12"/>
        <v>0</v>
      </c>
      <c r="S22" s="1"/>
      <c r="T22" s="1">
        <f>SUM(OSRRefT22_1x_0)</f>
        <v>719.55</v>
      </c>
      <c r="U22" s="1"/>
      <c r="V22" s="5">
        <f t="shared" si="13"/>
        <v>0</v>
      </c>
      <c r="W22" s="1"/>
      <c r="X22" s="1">
        <f t="shared" si="14"/>
        <v>-719.55</v>
      </c>
      <c r="Y22" s="1"/>
      <c r="Z22" s="5">
        <f t="shared" si="15"/>
        <v>-1</v>
      </c>
    </row>
    <row r="23" spans="1:26" s="24" customFormat="1" hidden="1" outlineLevel="2" x14ac:dyDescent="0.3">
      <c r="A23" s="27"/>
      <c r="B23" s="12" t="str">
        <f>CONCATENATE("          ", "6279", " - ", "GENERAL EXPENSE")</f>
        <v xml:space="preserve">          6279 - GENERAL EXPENSE</v>
      </c>
      <c r="C23" s="12"/>
      <c r="D23" s="8"/>
      <c r="E23" s="3"/>
      <c r="F23" s="7">
        <f t="shared" si="8"/>
        <v>0</v>
      </c>
      <c r="G23" s="3"/>
      <c r="H23" s="8">
        <v>719.55</v>
      </c>
      <c r="I23" s="3"/>
      <c r="J23" s="7">
        <f t="shared" si="9"/>
        <v>0</v>
      </c>
      <c r="K23" s="3"/>
      <c r="L23" s="8">
        <f t="shared" si="10"/>
        <v>-719.55</v>
      </c>
      <c r="M23" s="3"/>
      <c r="N23" s="7">
        <f t="shared" si="11"/>
        <v>-1</v>
      </c>
      <c r="O23" s="12"/>
      <c r="P23" s="8"/>
      <c r="Q23" s="3"/>
      <c r="R23" s="7">
        <f t="shared" si="12"/>
        <v>0</v>
      </c>
      <c r="S23" s="3"/>
      <c r="T23" s="8">
        <v>719.55</v>
      </c>
      <c r="U23" s="3"/>
      <c r="V23" s="7">
        <f t="shared" si="13"/>
        <v>0</v>
      </c>
      <c r="W23" s="3"/>
      <c r="X23" s="8">
        <f t="shared" si="14"/>
        <v>-719.55</v>
      </c>
      <c r="Y23" s="3"/>
      <c r="Z23" s="7">
        <f t="shared" si="15"/>
        <v>-1</v>
      </c>
    </row>
    <row r="24" spans="1:26" s="29" customFormat="1" outlineLevel="1" collapsed="1" x14ac:dyDescent="0.3">
      <c r="A24" s="28"/>
      <c r="B24" s="14" t="str">
        <f>CONCATENATE("     ","Inventory Adjustment                              ")</f>
        <v xml:space="preserve">     Inventory Adjustment                              </v>
      </c>
      <c r="C24" s="14"/>
      <c r="D24" s="1">
        <f>SUM(OSRRefD22_2x_0)</f>
        <v>650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650</v>
      </c>
      <c r="M24" s="1"/>
      <c r="N24" s="5">
        <f t="shared" si="11"/>
        <v>0</v>
      </c>
      <c r="O24" s="14"/>
      <c r="P24" s="1">
        <f>SUM(OSRRefP22_2x_0)</f>
        <v>650</v>
      </c>
      <c r="Q24" s="1"/>
      <c r="R24" s="5">
        <f t="shared" si="12"/>
        <v>0</v>
      </c>
      <c r="S24" s="1"/>
      <c r="T24" s="1">
        <f>SUM(OSRRefT22_2x_0)</f>
        <v>0</v>
      </c>
      <c r="U24" s="1"/>
      <c r="V24" s="5">
        <f t="shared" si="13"/>
        <v>0</v>
      </c>
      <c r="W24" s="1"/>
      <c r="X24" s="1">
        <f t="shared" si="14"/>
        <v>650</v>
      </c>
      <c r="Y24" s="1"/>
      <c r="Z24" s="5">
        <f t="shared" si="15"/>
        <v>0</v>
      </c>
    </row>
    <row r="25" spans="1:26" s="24" customFormat="1" hidden="1" outlineLevel="2" x14ac:dyDescent="0.3">
      <c r="A25" s="27"/>
      <c r="B25" s="12" t="str">
        <f>CONCATENATE("          ", "6408", " - ", "INVENTORY ADJUSTMENT")</f>
        <v xml:space="preserve">          6408 - INVENTORY ADJUSTMENT</v>
      </c>
      <c r="C25" s="12"/>
      <c r="D25" s="8">
        <v>650</v>
      </c>
      <c r="E25" s="3"/>
      <c r="F25" s="7">
        <f t="shared" si="8"/>
        <v>0</v>
      </c>
      <c r="G25" s="3"/>
      <c r="H25" s="8"/>
      <c r="I25" s="3"/>
      <c r="J25" s="7">
        <f t="shared" si="9"/>
        <v>0</v>
      </c>
      <c r="K25" s="3"/>
      <c r="L25" s="8">
        <f t="shared" si="10"/>
        <v>650</v>
      </c>
      <c r="M25" s="3"/>
      <c r="N25" s="7">
        <f t="shared" si="11"/>
        <v>0</v>
      </c>
      <c r="O25" s="12"/>
      <c r="P25" s="8">
        <v>650</v>
      </c>
      <c r="Q25" s="3"/>
      <c r="R25" s="7">
        <f t="shared" si="12"/>
        <v>0</v>
      </c>
      <c r="S25" s="3"/>
      <c r="T25" s="8"/>
      <c r="U25" s="3"/>
      <c r="V25" s="7">
        <f t="shared" si="13"/>
        <v>0</v>
      </c>
      <c r="W25" s="3"/>
      <c r="X25" s="8">
        <f t="shared" si="14"/>
        <v>650</v>
      </c>
      <c r="Y25" s="3"/>
      <c r="Z25" s="7">
        <f t="shared" si="15"/>
        <v>0</v>
      </c>
    </row>
    <row r="26" spans="1:26" s="29" customFormat="1" outlineLevel="1" collapsed="1" x14ac:dyDescent="0.3">
      <c r="A26" s="28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-113.5</v>
      </c>
      <c r="I26" s="1"/>
      <c r="J26" s="5">
        <f t="shared" si="9"/>
        <v>0</v>
      </c>
      <c r="K26" s="1"/>
      <c r="L26" s="1">
        <f t="shared" si="10"/>
        <v>113.5</v>
      </c>
      <c r="M26" s="1"/>
      <c r="N26" s="5">
        <f t="shared" si="11"/>
        <v>-1</v>
      </c>
      <c r="O26" s="14"/>
      <c r="P26" s="1">
        <f>SUM(OSRRefP22_3x_0)</f>
        <v>0</v>
      </c>
      <c r="Q26" s="1"/>
      <c r="R26" s="5">
        <f t="shared" si="12"/>
        <v>0</v>
      </c>
      <c r="S26" s="1"/>
      <c r="T26" s="1">
        <f>SUM(OSRRefT22_3x_0)</f>
        <v>-113.5</v>
      </c>
      <c r="U26" s="1"/>
      <c r="V26" s="5">
        <f t="shared" si="13"/>
        <v>0</v>
      </c>
      <c r="W26" s="1"/>
      <c r="X26" s="1">
        <f t="shared" si="14"/>
        <v>113.5</v>
      </c>
      <c r="Y26" s="1"/>
      <c r="Z26" s="5">
        <f t="shared" si="15"/>
        <v>-1</v>
      </c>
    </row>
    <row r="27" spans="1:26" s="24" customFormat="1" hidden="1" outlineLevel="2" x14ac:dyDescent="0.3">
      <c r="A27" s="27"/>
      <c r="B27" s="12" t="str">
        <f>CONCATENATE("          ", "6282", " - ", "JANITORIAL/EXTERMINATOR EXPENS")</f>
        <v xml:space="preserve">          6282 - JANITORIAL/EXTERMINATOR EXPENS</v>
      </c>
      <c r="C27" s="12"/>
      <c r="D27" s="8"/>
      <c r="E27" s="3"/>
      <c r="F27" s="7">
        <f t="shared" si="8"/>
        <v>0</v>
      </c>
      <c r="G27" s="3"/>
      <c r="H27" s="8">
        <v>44</v>
      </c>
      <c r="I27" s="3"/>
      <c r="J27" s="7">
        <f t="shared" si="9"/>
        <v>0</v>
      </c>
      <c r="K27" s="3"/>
      <c r="L27" s="8">
        <f t="shared" si="10"/>
        <v>-44</v>
      </c>
      <c r="M27" s="3"/>
      <c r="N27" s="7">
        <f t="shared" si="11"/>
        <v>-1</v>
      </c>
      <c r="O27" s="12"/>
      <c r="P27" s="8"/>
      <c r="Q27" s="3"/>
      <c r="R27" s="7">
        <f t="shared" si="12"/>
        <v>0</v>
      </c>
      <c r="S27" s="3"/>
      <c r="T27" s="8">
        <v>44</v>
      </c>
      <c r="U27" s="3"/>
      <c r="V27" s="7">
        <f t="shared" si="13"/>
        <v>0</v>
      </c>
      <c r="W27" s="3"/>
      <c r="X27" s="8">
        <f t="shared" si="14"/>
        <v>-44</v>
      </c>
      <c r="Y27" s="3"/>
      <c r="Z27" s="7">
        <f t="shared" si="15"/>
        <v>-1</v>
      </c>
    </row>
    <row r="28" spans="1:26" s="24" customFormat="1" hidden="1" outlineLevel="2" x14ac:dyDescent="0.3">
      <c r="A28" s="27"/>
      <c r="B28" s="12" t="str">
        <f>CONCATENATE("          ", "6285", " - ", "JANITORIAL SERVICES")</f>
        <v xml:space="preserve">          6285 - JANITORIAL SERVICES</v>
      </c>
      <c r="C28" s="12"/>
      <c r="D28" s="8"/>
      <c r="E28" s="3"/>
      <c r="F28" s="7">
        <f t="shared" si="8"/>
        <v>0</v>
      </c>
      <c r="G28" s="3"/>
      <c r="H28" s="8">
        <v>-157.5</v>
      </c>
      <c r="I28" s="3"/>
      <c r="J28" s="7">
        <f t="shared" si="9"/>
        <v>0</v>
      </c>
      <c r="K28" s="3"/>
      <c r="L28" s="8">
        <f t="shared" si="10"/>
        <v>157.5</v>
      </c>
      <c r="M28" s="3"/>
      <c r="N28" s="7">
        <f t="shared" si="11"/>
        <v>-1</v>
      </c>
      <c r="O28" s="12"/>
      <c r="P28" s="8"/>
      <c r="Q28" s="3"/>
      <c r="R28" s="7">
        <f t="shared" si="12"/>
        <v>0</v>
      </c>
      <c r="S28" s="3"/>
      <c r="T28" s="8">
        <v>-157.5</v>
      </c>
      <c r="U28" s="3"/>
      <c r="V28" s="7">
        <f t="shared" si="13"/>
        <v>0</v>
      </c>
      <c r="W28" s="3"/>
      <c r="X28" s="8">
        <f t="shared" si="14"/>
        <v>157.5</v>
      </c>
      <c r="Y28" s="3"/>
      <c r="Z28" s="7">
        <f t="shared" si="15"/>
        <v>-1</v>
      </c>
    </row>
    <row r="29" spans="1:26" s="29" customFormat="1" outlineLevel="1" collapsed="1" x14ac:dyDescent="0.3">
      <c r="A29" s="28"/>
      <c r="B29" s="14" t="str">
        <f>CONCATENATE("     ","Supplies                                          ")</f>
        <v xml:space="preserve">     Supplies                                          </v>
      </c>
      <c r="C29" s="14"/>
      <c r="D29" s="1">
        <f>SUM(OSRRefD22_4x_0)</f>
        <v>0</v>
      </c>
      <c r="E29" s="1"/>
      <c r="F29" s="5">
        <f t="shared" ref="F29:F32" si="16">IF(D$12=0,0,D29/D$12)</f>
        <v>0</v>
      </c>
      <c r="G29" s="1"/>
      <c r="H29" s="1">
        <f>SUM(OSRRefH22_4x_0)</f>
        <v>444.3</v>
      </c>
      <c r="I29" s="1"/>
      <c r="J29" s="5">
        <f t="shared" ref="J29:J32" si="17">IF(H$12=0,0,H29/H$12)</f>
        <v>0</v>
      </c>
      <c r="K29" s="1"/>
      <c r="L29" s="1">
        <f t="shared" ref="L29:L32" si="18">+D29-H29</f>
        <v>-444.3</v>
      </c>
      <c r="M29" s="1"/>
      <c r="N29" s="5">
        <f t="shared" ref="N29:N32" si="19">IF(H29=0,0,L29/H29)</f>
        <v>-1</v>
      </c>
      <c r="O29" s="14"/>
      <c r="P29" s="1">
        <f>SUM(OSRRefP22_4x_0)</f>
        <v>0</v>
      </c>
      <c r="Q29" s="1"/>
      <c r="R29" s="5">
        <f t="shared" ref="R29:R32" si="20">IF(P$12=0,0,P29/P$12)</f>
        <v>0</v>
      </c>
      <c r="S29" s="1"/>
      <c r="T29" s="1">
        <f>SUM(OSRRefT22_4x_0)</f>
        <v>444.3</v>
      </c>
      <c r="U29" s="1"/>
      <c r="V29" s="5">
        <f t="shared" ref="V29:V32" si="21">IF(T$12=0,0,T29/T$12)</f>
        <v>0</v>
      </c>
      <c r="W29" s="1"/>
      <c r="X29" s="1">
        <f t="shared" ref="X29:X32" si="22">+P29-T29</f>
        <v>-444.3</v>
      </c>
      <c r="Y29" s="1"/>
      <c r="Z29" s="5">
        <f t="shared" ref="Z29:Z32" si="23">IF(T29=0,0,X29/T29)</f>
        <v>-1</v>
      </c>
    </row>
    <row r="30" spans="1:26" s="24" customFormat="1" hidden="1" outlineLevel="2" x14ac:dyDescent="0.3">
      <c r="A30" s="27"/>
      <c r="B30" s="12" t="str">
        <f>CONCATENATE("          ", "6235", " - ", "COVID-19 EXPENSES")</f>
        <v xml:space="preserve">          6235 - COVID-19 EXPENSES</v>
      </c>
      <c r="C30" s="12"/>
      <c r="D30" s="8"/>
      <c r="E30" s="3"/>
      <c r="F30" s="7">
        <f t="shared" si="16"/>
        <v>0</v>
      </c>
      <c r="G30" s="3"/>
      <c r="H30" s="8">
        <v>444.3</v>
      </c>
      <c r="I30" s="3"/>
      <c r="J30" s="7">
        <f t="shared" si="17"/>
        <v>0</v>
      </c>
      <c r="K30" s="3"/>
      <c r="L30" s="8">
        <f t="shared" si="18"/>
        <v>-444.3</v>
      </c>
      <c r="M30" s="3"/>
      <c r="N30" s="7">
        <f t="shared" si="19"/>
        <v>-1</v>
      </c>
      <c r="O30" s="12"/>
      <c r="P30" s="8"/>
      <c r="Q30" s="3"/>
      <c r="R30" s="7">
        <f t="shared" si="20"/>
        <v>0</v>
      </c>
      <c r="S30" s="3"/>
      <c r="T30" s="8">
        <v>444.3</v>
      </c>
      <c r="U30" s="3"/>
      <c r="V30" s="7">
        <f t="shared" si="21"/>
        <v>0</v>
      </c>
      <c r="W30" s="3"/>
      <c r="X30" s="8">
        <f t="shared" si="22"/>
        <v>-444.3</v>
      </c>
      <c r="Y30" s="3"/>
      <c r="Z30" s="7">
        <f t="shared" si="23"/>
        <v>-1</v>
      </c>
    </row>
    <row r="31" spans="1:26" s="29" customFormat="1" outlineLevel="1" collapsed="1" x14ac:dyDescent="0.3">
      <c r="A31" s="28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SUM(OSRRefD22_5x_0)</f>
        <v>13</v>
      </c>
      <c r="E31" s="1"/>
      <c r="F31" s="5">
        <f t="shared" si="16"/>
        <v>0</v>
      </c>
      <c r="G31" s="1"/>
      <c r="H31" s="1">
        <f>SUM(OSRRefH22_5x_0)</f>
        <v>53</v>
      </c>
      <c r="I31" s="1"/>
      <c r="J31" s="5">
        <f t="shared" si="17"/>
        <v>0</v>
      </c>
      <c r="K31" s="1"/>
      <c r="L31" s="1">
        <f t="shared" si="18"/>
        <v>-40</v>
      </c>
      <c r="M31" s="1"/>
      <c r="N31" s="5">
        <f t="shared" si="19"/>
        <v>-0.75471698113207553</v>
      </c>
      <c r="O31" s="14"/>
      <c r="P31" s="1">
        <f>SUM(OSRRefP22_5x_0)</f>
        <v>13</v>
      </c>
      <c r="Q31" s="1"/>
      <c r="R31" s="5">
        <f t="shared" si="20"/>
        <v>0</v>
      </c>
      <c r="S31" s="1"/>
      <c r="T31" s="1">
        <f>SUM(OSRRefT22_5x_0)</f>
        <v>53</v>
      </c>
      <c r="U31" s="1"/>
      <c r="V31" s="5">
        <f t="shared" si="21"/>
        <v>0</v>
      </c>
      <c r="W31" s="1"/>
      <c r="X31" s="1">
        <f t="shared" si="22"/>
        <v>-40</v>
      </c>
      <c r="Y31" s="1"/>
      <c r="Z31" s="5">
        <f t="shared" si="23"/>
        <v>-0.75471698113207553</v>
      </c>
    </row>
    <row r="32" spans="1:26" s="24" customFormat="1" hidden="1" outlineLevel="2" x14ac:dyDescent="0.3">
      <c r="A32" s="27"/>
      <c r="B32" s="12" t="str">
        <f>CONCATENATE("          ", "6309", " - ", "TELEPHONE")</f>
        <v xml:space="preserve">          6309 - TELEPHONE</v>
      </c>
      <c r="C32" s="12"/>
      <c r="D32" s="8">
        <v>13</v>
      </c>
      <c r="E32" s="3"/>
      <c r="F32" s="7">
        <f t="shared" si="16"/>
        <v>0</v>
      </c>
      <c r="G32" s="3"/>
      <c r="H32" s="8">
        <v>53</v>
      </c>
      <c r="I32" s="3"/>
      <c r="J32" s="7">
        <f t="shared" si="17"/>
        <v>0</v>
      </c>
      <c r="K32" s="3"/>
      <c r="L32" s="8">
        <f t="shared" si="18"/>
        <v>-40</v>
      </c>
      <c r="M32" s="3"/>
      <c r="N32" s="7">
        <f t="shared" si="19"/>
        <v>-0.75471698113207553</v>
      </c>
      <c r="O32" s="12"/>
      <c r="P32" s="8">
        <v>13</v>
      </c>
      <c r="Q32" s="3"/>
      <c r="R32" s="7">
        <f t="shared" si="20"/>
        <v>0</v>
      </c>
      <c r="S32" s="3"/>
      <c r="T32" s="8">
        <v>53</v>
      </c>
      <c r="U32" s="3"/>
      <c r="V32" s="7">
        <f t="shared" si="21"/>
        <v>0</v>
      </c>
      <c r="W32" s="3"/>
      <c r="X32" s="8">
        <f t="shared" si="22"/>
        <v>-40</v>
      </c>
      <c r="Y32" s="3"/>
      <c r="Z32" s="7">
        <f t="shared" si="23"/>
        <v>-0.75471698113207553</v>
      </c>
    </row>
    <row r="33" spans="1:26" s="53" customFormat="1" x14ac:dyDescent="0.3">
      <c r="A33" s="37"/>
      <c r="B33" s="37"/>
      <c r="C33" s="37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7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3">
      <c r="A34" s="10"/>
      <c r="B34" s="25" t="s">
        <v>292</v>
      </c>
      <c r="C34" s="10"/>
      <c r="D34" s="4">
        <f>SUM(0)</f>
        <v>0</v>
      </c>
      <c r="E34" s="4"/>
      <c r="F34" s="11">
        <f>IF(D$12=0,0,D34/D$12)</f>
        <v>0</v>
      </c>
      <c r="G34" s="4"/>
      <c r="H34" s="4">
        <f>SUM(0)</f>
        <v>0</v>
      </c>
      <c r="I34" s="4"/>
      <c r="J34" s="11">
        <f>IF(H$12=0,0,H34/H$12)</f>
        <v>0</v>
      </c>
      <c r="K34" s="4"/>
      <c r="L34" s="4">
        <f>+D34-H34</f>
        <v>0</v>
      </c>
      <c r="M34" s="4"/>
      <c r="N34" s="11">
        <f>IF(H34=0,0,L34/H34)</f>
        <v>0</v>
      </c>
      <c r="O34" s="10"/>
      <c r="P34" s="4">
        <f>SUM(0)</f>
        <v>0</v>
      </c>
      <c r="Q34" s="4"/>
      <c r="R34" s="11">
        <f>IF(P$12=0,0,P34/P$12)</f>
        <v>0</v>
      </c>
      <c r="S34" s="4"/>
      <c r="T34" s="4">
        <f>SUM(0)</f>
        <v>0</v>
      </c>
      <c r="U34" s="4"/>
      <c r="V34" s="11">
        <f>IF(T$12=0,0,T34/T$12)</f>
        <v>0</v>
      </c>
      <c r="W34" s="4"/>
      <c r="X34" s="4">
        <f>+P34-T34</f>
        <v>0</v>
      </c>
      <c r="Y34" s="4"/>
      <c r="Z34" s="11">
        <f>IF(T34=0,0,X34/T34)</f>
        <v>0</v>
      </c>
    </row>
    <row r="35" spans="1:26" x14ac:dyDescent="0.3">
      <c r="A35" s="9"/>
      <c r="B35" s="10"/>
      <c r="C35" s="10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10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x14ac:dyDescent="0.3">
      <c r="A36" s="10"/>
      <c r="B36" s="26" t="s">
        <v>276</v>
      </c>
      <c r="C36" s="26"/>
      <c r="D36" s="20">
        <f>+D17-D19+D34</f>
        <v>-763</v>
      </c>
      <c r="E36" s="13"/>
      <c r="F36" s="21">
        <f>IF(D$12=0,0,D36/D$12)</f>
        <v>0</v>
      </c>
      <c r="G36" s="13"/>
      <c r="H36" s="20">
        <f>+H17-H19+H34</f>
        <v>-1141.3999999999999</v>
      </c>
      <c r="I36" s="13"/>
      <c r="J36" s="21">
        <f>IF(H$12=0,0,H36/H$12)</f>
        <v>0</v>
      </c>
      <c r="K36" s="16"/>
      <c r="L36" s="20">
        <f>+D36-H36</f>
        <v>378.39999999999986</v>
      </c>
      <c r="M36" s="16"/>
      <c r="N36" s="21">
        <f>IF(H36=0,0,L36/H36)</f>
        <v>-0.3315226914315752</v>
      </c>
      <c r="O36" s="25"/>
      <c r="P36" s="20">
        <f>+P17-P19+P34</f>
        <v>-763</v>
      </c>
      <c r="Q36" s="13"/>
      <c r="R36" s="21">
        <f>IF(P$12=0,0,P36/P$12)</f>
        <v>0</v>
      </c>
      <c r="S36" s="13"/>
      <c r="T36" s="20">
        <f>+T17-T19+T34</f>
        <v>-1141.3999999999999</v>
      </c>
      <c r="U36" s="13"/>
      <c r="V36" s="21">
        <f>IF(T$12=0,0,T36/T$12)</f>
        <v>0</v>
      </c>
      <c r="W36" s="16"/>
      <c r="X36" s="20">
        <f>+P36-T36</f>
        <v>378.39999999999986</v>
      </c>
      <c r="Y36" s="16"/>
      <c r="Z36" s="21">
        <f>IF(T36=0,0,X36/T36)</f>
        <v>-0.3315226914315752</v>
      </c>
    </row>
    <row r="37" spans="1:26" x14ac:dyDescent="0.3">
      <c r="A37" s="9"/>
      <c r="B37" s="10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x14ac:dyDescent="0.3">
      <c r="A38" s="51"/>
      <c r="B38" s="10" t="s">
        <v>127</v>
      </c>
      <c r="C38" s="10"/>
      <c r="D38" s="4"/>
      <c r="E38" s="4"/>
      <c r="F38" s="11">
        <f>IF(D$12=0,0,D38/D$12)</f>
        <v>0</v>
      </c>
      <c r="G38" s="4"/>
      <c r="H38" s="4"/>
      <c r="I38" s="4"/>
      <c r="J38" s="11">
        <f>IF(H$12=0,0,H38/H$12)</f>
        <v>0</v>
      </c>
      <c r="K38" s="4"/>
      <c r="L38" s="4">
        <f>+D38-H38</f>
        <v>0</v>
      </c>
      <c r="M38" s="4"/>
      <c r="N38" s="11">
        <f>IF(H38=0,0,L38/H38)</f>
        <v>0</v>
      </c>
      <c r="O38" s="10"/>
      <c r="P38" s="4"/>
      <c r="Q38" s="4"/>
      <c r="R38" s="11">
        <f>IF(P$12=0,0,P38/P$12)</f>
        <v>0</v>
      </c>
      <c r="S38" s="4"/>
      <c r="T38" s="4"/>
      <c r="U38" s="4"/>
      <c r="V38" s="11">
        <f>IF(T$12=0,0,T38/T$12)</f>
        <v>0</v>
      </c>
      <c r="W38" s="4"/>
      <c r="X38" s="4">
        <f>+P38-T38</f>
        <v>0</v>
      </c>
      <c r="Y38" s="4"/>
      <c r="Z38" s="11">
        <f>IF(T38=0,0,X38/T38)</f>
        <v>0</v>
      </c>
    </row>
    <row r="39" spans="1:26" x14ac:dyDescent="0.3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3" customFormat="1" ht="15" thickBot="1" x14ac:dyDescent="0.35">
      <c r="A40" s="10"/>
      <c r="B40" s="26" t="s">
        <v>125</v>
      </c>
      <c r="C40" s="26"/>
      <c r="D40" s="36">
        <f>+D36-D38</f>
        <v>-763</v>
      </c>
      <c r="E40" s="13"/>
      <c r="F40" s="34">
        <f>IF(D$12=0,0,D40/D$12)</f>
        <v>0</v>
      </c>
      <c r="G40" s="13"/>
      <c r="H40" s="36">
        <f>+H36-H38</f>
        <v>-1141.3999999999999</v>
      </c>
      <c r="I40" s="13"/>
      <c r="J40" s="34">
        <f>IF(H$12=0,0,H40/H$12)</f>
        <v>0</v>
      </c>
      <c r="K40" s="16"/>
      <c r="L40" s="36">
        <f>D40-H40</f>
        <v>378.39999999999986</v>
      </c>
      <c r="M40" s="16"/>
      <c r="N40" s="34">
        <f>IF(H40=0,0,L40/H40)</f>
        <v>-0.3315226914315752</v>
      </c>
      <c r="O40" s="25"/>
      <c r="P40" s="36">
        <f>+P36-P38</f>
        <v>-763</v>
      </c>
      <c r="Q40" s="13"/>
      <c r="R40" s="34">
        <f>IF(P$12=0,0,P40/P$12)</f>
        <v>0</v>
      </c>
      <c r="S40" s="13"/>
      <c r="T40" s="36">
        <f>+T36-T38</f>
        <v>-1141.3999999999999</v>
      </c>
      <c r="U40" s="13"/>
      <c r="V40" s="34">
        <f>IF(T$12=0,0,T40/T$12)</f>
        <v>0</v>
      </c>
      <c r="W40" s="16"/>
      <c r="X40" s="36">
        <f>P40-T40</f>
        <v>378.39999999999986</v>
      </c>
      <c r="Y40" s="16"/>
      <c r="Z40" s="34">
        <f>IF(T40=0,0,X40/T40)</f>
        <v>-0.3315226914315752</v>
      </c>
    </row>
    <row r="41" spans="1:26" ht="15" thickTop="1" x14ac:dyDescent="0.3">
      <c r="A41" s="9"/>
      <c r="B41" s="9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x14ac:dyDescent="0.3">
      <c r="A42" s="9"/>
      <c r="B42" s="9"/>
      <c r="C42" s="9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s="23" customFormat="1" ht="15" thickBot="1" x14ac:dyDescent="0.35">
      <c r="A43" s="10"/>
      <c r="B43" s="26" t="s">
        <v>293</v>
      </c>
      <c r="C43" s="26"/>
      <c r="D43" s="31">
        <f>SUM(D40:D42)</f>
        <v>-763</v>
      </c>
      <c r="E43" s="13"/>
      <c r="F43" s="33">
        <f>IF(D$12=0,0,D43/D$12)</f>
        <v>0</v>
      </c>
      <c r="G43" s="13"/>
      <c r="H43" s="31">
        <f>SUM(H40:H42)</f>
        <v>-1141.3999999999999</v>
      </c>
      <c r="I43" s="13"/>
      <c r="J43" s="33">
        <f>IF(H$12=0,0,H43/H$12)</f>
        <v>0</v>
      </c>
      <c r="K43" s="16"/>
      <c r="L43" s="31">
        <f>+D43-H43</f>
        <v>378.39999999999986</v>
      </c>
      <c r="M43" s="16"/>
      <c r="N43" s="33">
        <f>IF(H43=0,0,L43/H43)</f>
        <v>-0.3315226914315752</v>
      </c>
      <c r="O43" s="25"/>
      <c r="P43" s="31">
        <f>SUM(P40:P42)</f>
        <v>-763</v>
      </c>
      <c r="Q43" s="13"/>
      <c r="R43" s="33">
        <f>IF(P$12=0,0,P43/P$12)</f>
        <v>0</v>
      </c>
      <c r="S43" s="13"/>
      <c r="T43" s="31">
        <f>SUM(T40:T42)</f>
        <v>-1141.3999999999999</v>
      </c>
      <c r="U43" s="13"/>
      <c r="V43" s="33">
        <f>IF(T$12=0,0,T43/T$12)</f>
        <v>0</v>
      </c>
      <c r="W43" s="16"/>
      <c r="X43" s="31">
        <f>+P43-T43</f>
        <v>378.39999999999986</v>
      </c>
      <c r="Y43" s="16"/>
      <c r="Z43" s="33">
        <f>IF(T43=0,0,X43/T43)</f>
        <v>-0.3315226914315752</v>
      </c>
    </row>
    <row r="44" spans="1:26" ht="15" thickTop="1" x14ac:dyDescent="0.3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">
      <c r="A45" s="9"/>
      <c r="B45" s="59">
        <v>44462.666945868055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57" t="s">
        <v>56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A47" s="9"/>
      <c r="B47" s="61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0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62114.82</v>
      </c>
      <c r="E12" s="4"/>
      <c r="F12" s="11"/>
      <c r="G12" s="4"/>
      <c r="H12" s="4">
        <f>SUM(OSRRefH13x_0)</f>
        <v>48038.560000000005</v>
      </c>
      <c r="I12" s="4"/>
      <c r="J12" s="11"/>
      <c r="K12" s="4"/>
      <c r="L12" s="4">
        <f t="shared" ref="L12:L28" si="0">+D12-H12</f>
        <v>14076.259999999995</v>
      </c>
      <c r="M12" s="4"/>
      <c r="N12" s="11">
        <f t="shared" ref="N12:N28" si="1">IF(H12=0,0,L12/H12)</f>
        <v>0.29302002391412219</v>
      </c>
      <c r="O12" s="10"/>
      <c r="P12" s="4">
        <f>SUM(OSRRefP13x_0)</f>
        <v>62114.82</v>
      </c>
      <c r="Q12" s="4"/>
      <c r="R12" s="11"/>
      <c r="S12" s="4"/>
      <c r="T12" s="4">
        <f>SUM(OSRRefT13x_0)</f>
        <v>48038.560000000005</v>
      </c>
      <c r="U12" s="4"/>
      <c r="V12" s="11"/>
      <c r="W12" s="4"/>
      <c r="X12" s="4">
        <f t="shared" ref="X12:X28" si="2">+P12-T12</f>
        <v>14076.259999999995</v>
      </c>
      <c r="Y12" s="4"/>
      <c r="Z12" s="11">
        <f t="shared" ref="Z12:Z28" si="3">IF(T12=0,0,X12/T12)</f>
        <v>0.29302002391412219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--34833.91</f>
        <v>34833.910000000003</v>
      </c>
      <c r="E13" s="3"/>
      <c r="F13" s="22"/>
      <c r="G13" s="3"/>
      <c r="H13" s="3">
        <f>-770.07</f>
        <v>-770.07</v>
      </c>
      <c r="I13" s="3"/>
      <c r="J13" s="22"/>
      <c r="K13" s="3"/>
      <c r="L13" s="3">
        <f t="shared" si="0"/>
        <v>35603.980000000003</v>
      </c>
      <c r="M13" s="3"/>
      <c r="N13" s="22">
        <f t="shared" si="1"/>
        <v>-46.234731907488928</v>
      </c>
      <c r="O13" s="12"/>
      <c r="P13" s="3">
        <f>--34833.91</f>
        <v>34833.910000000003</v>
      </c>
      <c r="Q13" s="3"/>
      <c r="R13" s="22"/>
      <c r="S13" s="3"/>
      <c r="T13" s="3">
        <f>-770.07</f>
        <v>-770.07</v>
      </c>
      <c r="U13" s="3"/>
      <c r="V13" s="22"/>
      <c r="W13" s="3"/>
      <c r="X13" s="3">
        <f t="shared" si="2"/>
        <v>35603.980000000003</v>
      </c>
      <c r="Y13" s="3"/>
      <c r="Z13" s="22">
        <f t="shared" si="3"/>
        <v>-46.234731907488928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17" si="4">0</f>
        <v>0</v>
      </c>
      <c r="E14" s="3"/>
      <c r="F14" s="22"/>
      <c r="G14" s="3"/>
      <c r="H14" s="3">
        <f>--11947.85</f>
        <v>11947.85</v>
      </c>
      <c r="I14" s="3"/>
      <c r="J14" s="22"/>
      <c r="K14" s="3"/>
      <c r="L14" s="3">
        <f t="shared" si="0"/>
        <v>-11947.85</v>
      </c>
      <c r="M14" s="3"/>
      <c r="N14" s="22">
        <f t="shared" si="1"/>
        <v>-1</v>
      </c>
      <c r="O14" s="12"/>
      <c r="P14" s="3">
        <f t="shared" ref="P14:P17" si="5">0</f>
        <v>0</v>
      </c>
      <c r="Q14" s="3"/>
      <c r="R14" s="22"/>
      <c r="S14" s="3"/>
      <c r="T14" s="3">
        <f>--11947.85</f>
        <v>11947.85</v>
      </c>
      <c r="U14" s="3"/>
      <c r="V14" s="22"/>
      <c r="W14" s="3"/>
      <c r="X14" s="3">
        <f t="shared" si="2"/>
        <v>-11947.85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--13029.34</f>
        <v>13029.34</v>
      </c>
      <c r="I15" s="3"/>
      <c r="J15" s="22"/>
      <c r="K15" s="3"/>
      <c r="L15" s="3">
        <f t="shared" si="0"/>
        <v>-13029.34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--13029.34</f>
        <v>13029.34</v>
      </c>
      <c r="U15" s="3"/>
      <c r="V15" s="22"/>
      <c r="W15" s="3"/>
      <c r="X15" s="3">
        <f t="shared" si="2"/>
        <v>-13029.34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"4100", " - ", "NON-TAXABLE SALES")</f>
        <v xml:space="preserve">          4100 - NON-TAXABLE SALES</v>
      </c>
      <c r="C18" s="12"/>
      <c r="D18" s="3">
        <f>--29184.3</f>
        <v>29184.3</v>
      </c>
      <c r="E18" s="3"/>
      <c r="F18" s="22"/>
      <c r="G18" s="3"/>
      <c r="H18" s="3">
        <f>--3038.3</f>
        <v>3038.3</v>
      </c>
      <c r="I18" s="3"/>
      <c r="J18" s="22"/>
      <c r="K18" s="3"/>
      <c r="L18" s="3">
        <f t="shared" si="0"/>
        <v>26146</v>
      </c>
      <c r="M18" s="3"/>
      <c r="N18" s="22">
        <f t="shared" si="1"/>
        <v>8.6054701642365785</v>
      </c>
      <c r="O18" s="12"/>
      <c r="P18" s="3">
        <f>--29184.3</f>
        <v>29184.3</v>
      </c>
      <c r="Q18" s="3"/>
      <c r="R18" s="22"/>
      <c r="S18" s="3"/>
      <c r="T18" s="3">
        <f>--3038.3</f>
        <v>3038.3</v>
      </c>
      <c r="U18" s="3"/>
      <c r="V18" s="22"/>
      <c r="W18" s="3"/>
      <c r="X18" s="3">
        <f t="shared" si="2"/>
        <v>26146</v>
      </c>
      <c r="Y18" s="3"/>
      <c r="Z18" s="22">
        <f t="shared" si="3"/>
        <v>8.6054701642365785</v>
      </c>
    </row>
    <row r="19" spans="1:26" s="24" customFormat="1" hidden="1" outlineLevel="1" x14ac:dyDescent="0.3">
      <c r="A19" s="50"/>
      <c r="B19" s="12" t="str">
        <f>CONCATENATE("          ", "4101", " - ", "NON-TAXABLE SALES-NEW TEXT")</f>
        <v xml:space="preserve">          4101 - NON-TAXABLE SALES-NEW TEXT</v>
      </c>
      <c r="C19" s="12"/>
      <c r="D19" s="3">
        <f t="shared" ref="D19:D22" si="6">0</f>
        <v>0</v>
      </c>
      <c r="E19" s="3"/>
      <c r="F19" s="22"/>
      <c r="G19" s="3"/>
      <c r="H19" s="3">
        <f>--10341.86</f>
        <v>10341.86</v>
      </c>
      <c r="I19" s="3"/>
      <c r="J19" s="22"/>
      <c r="K19" s="3"/>
      <c r="L19" s="3">
        <f t="shared" si="0"/>
        <v>-10341.86</v>
      </c>
      <c r="M19" s="3"/>
      <c r="N19" s="22">
        <f t="shared" si="1"/>
        <v>-1</v>
      </c>
      <c r="O19" s="12"/>
      <c r="P19" s="3">
        <f t="shared" ref="P19:P22" si="7">0</f>
        <v>0</v>
      </c>
      <c r="Q19" s="3"/>
      <c r="R19" s="22"/>
      <c r="S19" s="3"/>
      <c r="T19" s="3">
        <f>--10341.86</f>
        <v>10341.86</v>
      </c>
      <c r="U19" s="3"/>
      <c r="V19" s="22"/>
      <c r="W19" s="3"/>
      <c r="X19" s="3">
        <f t="shared" si="2"/>
        <v>-10341.86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"4102", " - ", "NON-TAXABLE SALES-USED TEXT")</f>
        <v xml:space="preserve">          4102 - NON-TAXABLE SALES-USED TEXT</v>
      </c>
      <c r="C20" s="12"/>
      <c r="D20" s="3">
        <f t="shared" si="6"/>
        <v>0</v>
      </c>
      <c r="E20" s="3"/>
      <c r="F20" s="22"/>
      <c r="G20" s="3"/>
      <c r="H20" s="3">
        <f>--4190.44</f>
        <v>4190.4399999999996</v>
      </c>
      <c r="I20" s="3"/>
      <c r="J20" s="22"/>
      <c r="K20" s="3"/>
      <c r="L20" s="3">
        <f t="shared" si="0"/>
        <v>-4190.4399999999996</v>
      </c>
      <c r="M20" s="3"/>
      <c r="N20" s="22">
        <f t="shared" si="1"/>
        <v>-1</v>
      </c>
      <c r="O20" s="12"/>
      <c r="P20" s="3">
        <f t="shared" si="7"/>
        <v>0</v>
      </c>
      <c r="Q20" s="3"/>
      <c r="R20" s="22"/>
      <c r="S20" s="3"/>
      <c r="T20" s="3">
        <f>--4190.44</f>
        <v>4190.4399999999996</v>
      </c>
      <c r="U20" s="3"/>
      <c r="V20" s="22"/>
      <c r="W20" s="3"/>
      <c r="X20" s="3">
        <f t="shared" si="2"/>
        <v>-4190.4399999999996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"4104", " - ", "NON-TAXABLE SALES-DIGITAL TEXT")</f>
        <v xml:space="preserve">          4104 - NON-TAXABLE SALES-DIGITAL TEXT</v>
      </c>
      <c r="C21" s="12"/>
      <c r="D21" s="3">
        <f t="shared" si="6"/>
        <v>0</v>
      </c>
      <c r="E21" s="3"/>
      <c r="F21" s="22"/>
      <c r="G21" s="3"/>
      <c r="H21" s="3">
        <f>--7485.52</f>
        <v>7485.52</v>
      </c>
      <c r="I21" s="3"/>
      <c r="J21" s="22"/>
      <c r="K21" s="3"/>
      <c r="L21" s="3">
        <f t="shared" si="0"/>
        <v>-7485.52</v>
      </c>
      <c r="M21" s="3"/>
      <c r="N21" s="22">
        <f t="shared" si="1"/>
        <v>-1</v>
      </c>
      <c r="O21" s="12"/>
      <c r="P21" s="3">
        <f t="shared" si="7"/>
        <v>0</v>
      </c>
      <c r="Q21" s="3"/>
      <c r="R21" s="22"/>
      <c r="S21" s="3"/>
      <c r="T21" s="3">
        <f>--7485.52</f>
        <v>7485.52</v>
      </c>
      <c r="U21" s="3"/>
      <c r="V21" s="22"/>
      <c r="W21" s="3"/>
      <c r="X21" s="3">
        <f t="shared" si="2"/>
        <v>-7485.52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"4118", " - ", "NON-TAXABLE SALES-STUDY GUIDES")</f>
        <v xml:space="preserve">          4118 - NON-TAXABLE SALES-STUDY GUIDES</v>
      </c>
      <c r="C22" s="12"/>
      <c r="D22" s="3">
        <f t="shared" si="6"/>
        <v>0</v>
      </c>
      <c r="E22" s="3"/>
      <c r="F22" s="22"/>
      <c r="G22" s="3"/>
      <c r="H22" s="3">
        <f>--53.96</f>
        <v>53.96</v>
      </c>
      <c r="I22" s="3"/>
      <c r="J22" s="22"/>
      <c r="K22" s="3"/>
      <c r="L22" s="3">
        <f t="shared" si="0"/>
        <v>-53.96</v>
      </c>
      <c r="M22" s="3"/>
      <c r="N22" s="22">
        <f t="shared" si="1"/>
        <v>-1</v>
      </c>
      <c r="O22" s="12"/>
      <c r="P22" s="3">
        <f t="shared" si="7"/>
        <v>0</v>
      </c>
      <c r="Q22" s="3"/>
      <c r="R22" s="22"/>
      <c r="S22" s="3"/>
      <c r="T22" s="3">
        <f>--53.96</f>
        <v>53.96</v>
      </c>
      <c r="U22" s="3"/>
      <c r="V22" s="22"/>
      <c r="W22" s="3"/>
      <c r="X22" s="3">
        <f t="shared" si="2"/>
        <v>-53.96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"4200", " - ", "TAXABLE RETURNS")</f>
        <v xml:space="preserve">          4200 - TAXABLE RETURNS</v>
      </c>
      <c r="C23" s="12"/>
      <c r="D23" s="3">
        <f>-920.66</f>
        <v>-920.66</v>
      </c>
      <c r="E23" s="3"/>
      <c r="F23" s="22"/>
      <c r="G23" s="3"/>
      <c r="H23" s="3">
        <f>0</f>
        <v>0</v>
      </c>
      <c r="I23" s="3"/>
      <c r="J23" s="22"/>
      <c r="K23" s="3"/>
      <c r="L23" s="3">
        <f t="shared" si="0"/>
        <v>-920.66</v>
      </c>
      <c r="M23" s="3"/>
      <c r="N23" s="22">
        <f t="shared" si="1"/>
        <v>0</v>
      </c>
      <c r="O23" s="12"/>
      <c r="P23" s="3">
        <f>-920.66</f>
        <v>-920.66</v>
      </c>
      <c r="Q23" s="3"/>
      <c r="R23" s="22"/>
      <c r="S23" s="3"/>
      <c r="T23" s="3">
        <f>0</f>
        <v>0</v>
      </c>
      <c r="U23" s="3"/>
      <c r="V23" s="22"/>
      <c r="W23" s="3"/>
      <c r="X23" s="3">
        <f t="shared" si="2"/>
        <v>-920.66</v>
      </c>
      <c r="Y23" s="3"/>
      <c r="Z23" s="22">
        <f t="shared" si="3"/>
        <v>0</v>
      </c>
    </row>
    <row r="24" spans="1:26" s="24" customFormat="1" hidden="1" outlineLevel="1" x14ac:dyDescent="0.3">
      <c r="A24" s="50"/>
      <c r="B24" s="12" t="str">
        <f>CONCATENATE("          ", "4201", " - ", "SALES RETURN TAXABLE-NEW TEXT")</f>
        <v xml:space="preserve">          4201 - SALES RETURN TAXABLE-NEW TEXT</v>
      </c>
      <c r="C24" s="12"/>
      <c r="D24" s="3">
        <f t="shared" ref="D24:D25" si="8">0</f>
        <v>0</v>
      </c>
      <c r="E24" s="3"/>
      <c r="F24" s="22"/>
      <c r="G24" s="3"/>
      <c r="H24" s="3">
        <f>-633.4</f>
        <v>-633.4</v>
      </c>
      <c r="I24" s="3"/>
      <c r="J24" s="22"/>
      <c r="K24" s="3"/>
      <c r="L24" s="3">
        <f t="shared" si="0"/>
        <v>633.4</v>
      </c>
      <c r="M24" s="3"/>
      <c r="N24" s="22">
        <f t="shared" si="1"/>
        <v>-1</v>
      </c>
      <c r="O24" s="12"/>
      <c r="P24" s="3">
        <f t="shared" ref="P24:P25" si="9">0</f>
        <v>0</v>
      </c>
      <c r="Q24" s="3"/>
      <c r="R24" s="22"/>
      <c r="S24" s="3"/>
      <c r="T24" s="3">
        <f>-633.4</f>
        <v>-633.4</v>
      </c>
      <c r="U24" s="3"/>
      <c r="V24" s="22"/>
      <c r="W24" s="3"/>
      <c r="X24" s="3">
        <f t="shared" si="2"/>
        <v>633.4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"4202", " - ", "SALES RETURN TAXABLE-USED TEXT")</f>
        <v xml:space="preserve">          4202 - SALES RETURN TAXABLE-USED TEXT</v>
      </c>
      <c r="C25" s="12"/>
      <c r="D25" s="3">
        <f t="shared" si="8"/>
        <v>0</v>
      </c>
      <c r="E25" s="3"/>
      <c r="F25" s="22"/>
      <c r="G25" s="3"/>
      <c r="H25" s="3">
        <f>-178.35</f>
        <v>-178.35</v>
      </c>
      <c r="I25" s="3"/>
      <c r="J25" s="22"/>
      <c r="K25" s="3"/>
      <c r="L25" s="3">
        <f t="shared" si="0"/>
        <v>178.35</v>
      </c>
      <c r="M25" s="3"/>
      <c r="N25" s="22">
        <f t="shared" si="1"/>
        <v>-1</v>
      </c>
      <c r="O25" s="12"/>
      <c r="P25" s="3">
        <f t="shared" si="9"/>
        <v>0</v>
      </c>
      <c r="Q25" s="3"/>
      <c r="R25" s="22"/>
      <c r="S25" s="3"/>
      <c r="T25" s="3">
        <f>-178.35</f>
        <v>-178.35</v>
      </c>
      <c r="U25" s="3"/>
      <c r="V25" s="22"/>
      <c r="W25" s="3"/>
      <c r="X25" s="3">
        <f t="shared" si="2"/>
        <v>178.35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"4300", " - ", "NON-TAX RETURNS")</f>
        <v xml:space="preserve">          4300 - NON-TAX RETURNS</v>
      </c>
      <c r="C26" s="12"/>
      <c r="D26" s="3">
        <f>-982.73</f>
        <v>-982.73</v>
      </c>
      <c r="E26" s="3"/>
      <c r="F26" s="22"/>
      <c r="G26" s="3"/>
      <c r="H26" s="3">
        <f>0</f>
        <v>0</v>
      </c>
      <c r="I26" s="3"/>
      <c r="J26" s="22"/>
      <c r="K26" s="3"/>
      <c r="L26" s="3">
        <f t="shared" si="0"/>
        <v>-982.73</v>
      </c>
      <c r="M26" s="3"/>
      <c r="N26" s="22">
        <f t="shared" si="1"/>
        <v>0</v>
      </c>
      <c r="O26" s="12"/>
      <c r="P26" s="3">
        <f>-982.73</f>
        <v>-982.73</v>
      </c>
      <c r="Q26" s="3"/>
      <c r="R26" s="22"/>
      <c r="S26" s="3"/>
      <c r="T26" s="3">
        <f>0</f>
        <v>0</v>
      </c>
      <c r="U26" s="3"/>
      <c r="V26" s="22"/>
      <c r="W26" s="3"/>
      <c r="X26" s="3">
        <f t="shared" si="2"/>
        <v>-982.73</v>
      </c>
      <c r="Y26" s="3"/>
      <c r="Z26" s="22">
        <f t="shared" si="3"/>
        <v>0</v>
      </c>
    </row>
    <row r="27" spans="1:26" s="24" customFormat="1" hidden="1" outlineLevel="1" x14ac:dyDescent="0.3">
      <c r="A27" s="50"/>
      <c r="B27" s="12" t="str">
        <f>CONCATENATE("          ", "4302", " - ", "SALES RETURN NON TAXABLE-TEXT")</f>
        <v xml:space="preserve">          4302 - SALES RETURN NON TAXABLE-TEXT</v>
      </c>
      <c r="C27" s="12"/>
      <c r="D27" s="3">
        <f t="shared" ref="D27:D28" si="10">0</f>
        <v>0</v>
      </c>
      <c r="E27" s="3"/>
      <c r="F27" s="22"/>
      <c r="G27" s="3"/>
      <c r="H27" s="3">
        <f>-63.67</f>
        <v>-63.67</v>
      </c>
      <c r="I27" s="3"/>
      <c r="J27" s="22"/>
      <c r="K27" s="3"/>
      <c r="L27" s="3">
        <f t="shared" si="0"/>
        <v>63.67</v>
      </c>
      <c r="M27" s="3"/>
      <c r="N27" s="22">
        <f t="shared" si="1"/>
        <v>-1</v>
      </c>
      <c r="O27" s="12"/>
      <c r="P27" s="3">
        <f t="shared" ref="P27:P28" si="11">0</f>
        <v>0</v>
      </c>
      <c r="Q27" s="3"/>
      <c r="R27" s="22"/>
      <c r="S27" s="3"/>
      <c r="T27" s="3">
        <f>-63.67</f>
        <v>-63.67</v>
      </c>
      <c r="U27" s="3"/>
      <c r="V27" s="22"/>
      <c r="W27" s="3"/>
      <c r="X27" s="3">
        <f t="shared" si="2"/>
        <v>63.67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"4304", " - ", "SALES RETURN NON TAXABLE-DIGIT")</f>
        <v xml:space="preserve">          4304 - SALES RETURN NON TAXABLE-DIGIT</v>
      </c>
      <c r="C28" s="12"/>
      <c r="D28" s="3">
        <f t="shared" si="10"/>
        <v>0</v>
      </c>
      <c r="E28" s="3"/>
      <c r="F28" s="22"/>
      <c r="G28" s="3"/>
      <c r="H28" s="3">
        <f>-452.05</f>
        <v>-452.05</v>
      </c>
      <c r="I28" s="3"/>
      <c r="J28" s="22"/>
      <c r="K28" s="3"/>
      <c r="L28" s="3">
        <f t="shared" si="0"/>
        <v>452.05</v>
      </c>
      <c r="M28" s="3"/>
      <c r="N28" s="22">
        <f t="shared" si="1"/>
        <v>-1</v>
      </c>
      <c r="O28" s="12"/>
      <c r="P28" s="3">
        <f t="shared" si="11"/>
        <v>0</v>
      </c>
      <c r="Q28" s="3"/>
      <c r="R28" s="22"/>
      <c r="S28" s="3"/>
      <c r="T28" s="3">
        <f>-452.05</f>
        <v>-452.05</v>
      </c>
      <c r="U28" s="3"/>
      <c r="V28" s="22"/>
      <c r="W28" s="3"/>
      <c r="X28" s="3">
        <f t="shared" si="2"/>
        <v>452.05</v>
      </c>
      <c r="Y28" s="3"/>
      <c r="Z28" s="22">
        <f t="shared" si="3"/>
        <v>-1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collapsed="1" x14ac:dyDescent="0.3">
      <c r="A30" s="10"/>
      <c r="B30" s="25" t="s">
        <v>256</v>
      </c>
      <c r="C30" s="10"/>
      <c r="D30" s="4">
        <f>SUM(OSRRefD16x_0)</f>
        <v>44701.750000000007</v>
      </c>
      <c r="E30" s="4"/>
      <c r="F30" s="11">
        <f t="shared" ref="F30:F43" si="12">IF(D$12=0,0,D30/D$12)</f>
        <v>0.71966319792925437</v>
      </c>
      <c r="G30" s="4"/>
      <c r="H30" s="4">
        <f>SUM(OSRRefH16x_0)</f>
        <v>30817.280000000042</v>
      </c>
      <c r="I30" s="4"/>
      <c r="J30" s="11">
        <f t="shared" ref="J30:J43" si="13">IF(H$12=0,0,H30/H$12)</f>
        <v>0.64151131924021121</v>
      </c>
      <c r="K30" s="4"/>
      <c r="L30" s="4">
        <f t="shared" ref="L30:L43" si="14">+D30-H30</f>
        <v>13884.469999999965</v>
      </c>
      <c r="M30" s="4"/>
      <c r="N30" s="11">
        <f t="shared" ref="N30:N43" si="15">IF(H30=0,0,L30/H30)</f>
        <v>0.45054170906711904</v>
      </c>
      <c r="O30" s="10"/>
      <c r="P30" s="4">
        <f>SUM(OSRRefP16x_0)</f>
        <v>44701.750000000007</v>
      </c>
      <c r="Q30" s="4"/>
      <c r="R30" s="11">
        <f t="shared" ref="R30:R43" si="16">IF(P$12=0,0,P30/P$12)</f>
        <v>0.71966319792925437</v>
      </c>
      <c r="S30" s="4"/>
      <c r="T30" s="4">
        <f>SUM(OSRRefT16x_0)</f>
        <v>30817.280000000042</v>
      </c>
      <c r="U30" s="4"/>
      <c r="V30" s="11">
        <f t="shared" ref="V30:V43" si="17">IF(T$12=0,0,T30/T$12)</f>
        <v>0.64151131924021121</v>
      </c>
      <c r="W30" s="4"/>
      <c r="X30" s="4">
        <f t="shared" ref="X30:X43" si="18">+P30-T30</f>
        <v>13884.469999999965</v>
      </c>
      <c r="Y30" s="4"/>
      <c r="Z30" s="11">
        <f t="shared" ref="Z30:Z43" si="19">IF(T30=0,0,X30/T30)</f>
        <v>0.45054170906711904</v>
      </c>
    </row>
    <row r="31" spans="1:26" s="24" customFormat="1" hidden="1" outlineLevel="1" x14ac:dyDescent="0.3">
      <c r="A31" s="50"/>
      <c r="B31" s="12" t="str">
        <f>CONCATENATE("          ", "5000", " - ", "PURCHASES @ COST")</f>
        <v xml:space="preserve">          5000 - PURCHASES @ COST</v>
      </c>
      <c r="C31" s="12"/>
      <c r="D31" s="3">
        <v>264218.03999999998</v>
      </c>
      <c r="E31" s="3"/>
      <c r="F31" s="22">
        <f t="shared" si="12"/>
        <v>4.2537037054925051</v>
      </c>
      <c r="G31" s="3"/>
      <c r="H31" s="3"/>
      <c r="I31" s="3"/>
      <c r="J31" s="22">
        <f t="shared" si="13"/>
        <v>0</v>
      </c>
      <c r="K31" s="3"/>
      <c r="L31" s="3">
        <f t="shared" si="14"/>
        <v>264218.03999999998</v>
      </c>
      <c r="M31" s="3"/>
      <c r="N31" s="22">
        <f t="shared" si="15"/>
        <v>0</v>
      </c>
      <c r="O31" s="12"/>
      <c r="P31" s="3">
        <v>264218.03999999998</v>
      </c>
      <c r="Q31" s="3"/>
      <c r="R31" s="22">
        <f t="shared" si="16"/>
        <v>4.2537037054925051</v>
      </c>
      <c r="S31" s="3"/>
      <c r="T31" s="3"/>
      <c r="U31" s="3"/>
      <c r="V31" s="22">
        <f t="shared" si="17"/>
        <v>0</v>
      </c>
      <c r="W31" s="3"/>
      <c r="X31" s="3">
        <f t="shared" si="18"/>
        <v>264218.03999999998</v>
      </c>
      <c r="Y31" s="3"/>
      <c r="Z31" s="22">
        <f t="shared" si="19"/>
        <v>0</v>
      </c>
    </row>
    <row r="32" spans="1:26" s="24" customFormat="1" hidden="1" outlineLevel="1" x14ac:dyDescent="0.3">
      <c r="A32" s="50"/>
      <c r="B32" s="12" t="str">
        <f>CONCATENATE("          ", "5001", " - ", "PURCHASES @ COST-NEW TEXT")</f>
        <v xml:space="preserve">          5001 - PURCHASES @ COST-NEW TEXT</v>
      </c>
      <c r="C32" s="12"/>
      <c r="D32" s="3">
        <v>0</v>
      </c>
      <c r="E32" s="3"/>
      <c r="F32" s="22">
        <f t="shared" si="12"/>
        <v>0</v>
      </c>
      <c r="G32" s="3"/>
      <c r="H32" s="3">
        <v>153110.63</v>
      </c>
      <c r="I32" s="3"/>
      <c r="J32" s="22">
        <f t="shared" si="13"/>
        <v>3.187244372021143</v>
      </c>
      <c r="K32" s="3"/>
      <c r="L32" s="3">
        <f t="shared" si="14"/>
        <v>-153110.63</v>
      </c>
      <c r="M32" s="3"/>
      <c r="N32" s="22">
        <f t="shared" si="15"/>
        <v>-1</v>
      </c>
      <c r="O32" s="12"/>
      <c r="P32" s="3">
        <v>0</v>
      </c>
      <c r="Q32" s="3"/>
      <c r="R32" s="22">
        <f t="shared" si="16"/>
        <v>0</v>
      </c>
      <c r="S32" s="3"/>
      <c r="T32" s="3">
        <v>153110.63</v>
      </c>
      <c r="U32" s="3"/>
      <c r="V32" s="22">
        <f t="shared" si="17"/>
        <v>3.187244372021143</v>
      </c>
      <c r="W32" s="3"/>
      <c r="X32" s="3">
        <f t="shared" si="18"/>
        <v>-153110.63</v>
      </c>
      <c r="Y32" s="3"/>
      <c r="Z32" s="22">
        <f t="shared" si="19"/>
        <v>-1</v>
      </c>
    </row>
    <row r="33" spans="1:26" s="24" customFormat="1" hidden="1" outlineLevel="1" x14ac:dyDescent="0.3">
      <c r="A33" s="50"/>
      <c r="B33" s="12" t="str">
        <f>CONCATENATE("          ", "5002", " - ", "PURCHASES @ COST-USED TEXT")</f>
        <v xml:space="preserve">          5002 - PURCHASES @ COST-USED TEXT</v>
      </c>
      <c r="C33" s="12"/>
      <c r="D33" s="3">
        <v>0</v>
      </c>
      <c r="E33" s="3"/>
      <c r="F33" s="22">
        <f t="shared" si="12"/>
        <v>0</v>
      </c>
      <c r="G33" s="3"/>
      <c r="H33" s="3">
        <v>60324.85</v>
      </c>
      <c r="I33" s="3"/>
      <c r="J33" s="22">
        <f t="shared" si="13"/>
        <v>1.2557589153380115</v>
      </c>
      <c r="K33" s="3"/>
      <c r="L33" s="3">
        <f t="shared" si="14"/>
        <v>-60324.85</v>
      </c>
      <c r="M33" s="3"/>
      <c r="N33" s="22">
        <f t="shared" si="15"/>
        <v>-1</v>
      </c>
      <c r="O33" s="12"/>
      <c r="P33" s="3">
        <v>0</v>
      </c>
      <c r="Q33" s="3"/>
      <c r="R33" s="22">
        <f t="shared" si="16"/>
        <v>0</v>
      </c>
      <c r="S33" s="3"/>
      <c r="T33" s="3">
        <v>60324.85</v>
      </c>
      <c r="U33" s="3"/>
      <c r="V33" s="22">
        <f t="shared" si="17"/>
        <v>1.2557589153380115</v>
      </c>
      <c r="W33" s="3"/>
      <c r="X33" s="3">
        <f t="shared" si="18"/>
        <v>-60324.85</v>
      </c>
      <c r="Y33" s="3"/>
      <c r="Z33" s="22">
        <f t="shared" si="19"/>
        <v>-1</v>
      </c>
    </row>
    <row r="34" spans="1:26" s="24" customFormat="1" hidden="1" outlineLevel="1" x14ac:dyDescent="0.3">
      <c r="A34" s="50"/>
      <c r="B34" s="12" t="str">
        <f>CONCATENATE("          ", "5003", " - ", "PURCHASES @ COST-RENTAL TEXT")</f>
        <v xml:space="preserve">          5003 - PURCHASES @ COST-RENTAL TEXT</v>
      </c>
      <c r="C34" s="12"/>
      <c r="D34" s="3"/>
      <c r="E34" s="3"/>
      <c r="F34" s="22">
        <f t="shared" si="12"/>
        <v>0</v>
      </c>
      <c r="G34" s="3"/>
      <c r="H34" s="3">
        <v>-11926.64</v>
      </c>
      <c r="I34" s="3"/>
      <c r="J34" s="22">
        <f t="shared" si="13"/>
        <v>-0.24827222131554313</v>
      </c>
      <c r="K34" s="3"/>
      <c r="L34" s="3">
        <f t="shared" si="14"/>
        <v>11926.64</v>
      </c>
      <c r="M34" s="3"/>
      <c r="N34" s="22">
        <f t="shared" si="15"/>
        <v>-1</v>
      </c>
      <c r="O34" s="12"/>
      <c r="P34" s="3"/>
      <c r="Q34" s="3"/>
      <c r="R34" s="22">
        <f t="shared" si="16"/>
        <v>0</v>
      </c>
      <c r="S34" s="3"/>
      <c r="T34" s="3">
        <v>-11926.64</v>
      </c>
      <c r="U34" s="3"/>
      <c r="V34" s="22">
        <f t="shared" si="17"/>
        <v>-0.24827222131554313</v>
      </c>
      <c r="W34" s="3"/>
      <c r="X34" s="3">
        <f t="shared" si="18"/>
        <v>11926.64</v>
      </c>
      <c r="Y34" s="3"/>
      <c r="Z34" s="22">
        <f t="shared" si="19"/>
        <v>-1</v>
      </c>
    </row>
    <row r="35" spans="1:26" s="24" customFormat="1" hidden="1" outlineLevel="1" x14ac:dyDescent="0.3">
      <c r="A35" s="50"/>
      <c r="B35" s="12" t="str">
        <f>CONCATENATE("          ", "5004", " - ", "PURCHASES @ COST-DIGITAL TEXT")</f>
        <v xml:space="preserve">          5004 - PURCHASES @ COST-DIGITAL TEXT</v>
      </c>
      <c r="C35" s="12"/>
      <c r="D35" s="3">
        <v>0</v>
      </c>
      <c r="E35" s="3"/>
      <c r="F35" s="22">
        <f t="shared" si="12"/>
        <v>0</v>
      </c>
      <c r="G35" s="3"/>
      <c r="H35" s="3">
        <v>4925.4799999999996</v>
      </c>
      <c r="I35" s="3"/>
      <c r="J35" s="22">
        <f t="shared" si="13"/>
        <v>0.10253179945443824</v>
      </c>
      <c r="K35" s="3"/>
      <c r="L35" s="3">
        <f t="shared" si="14"/>
        <v>-4925.4799999999996</v>
      </c>
      <c r="M35" s="3"/>
      <c r="N35" s="22">
        <f t="shared" si="15"/>
        <v>-1</v>
      </c>
      <c r="O35" s="12"/>
      <c r="P35" s="3">
        <v>0</v>
      </c>
      <c r="Q35" s="3"/>
      <c r="R35" s="22">
        <f t="shared" si="16"/>
        <v>0</v>
      </c>
      <c r="S35" s="3"/>
      <c r="T35" s="3">
        <v>4925.4799999999996</v>
      </c>
      <c r="U35" s="3"/>
      <c r="V35" s="22">
        <f t="shared" si="17"/>
        <v>0.10253179945443824</v>
      </c>
      <c r="W35" s="3"/>
      <c r="X35" s="3">
        <f t="shared" si="18"/>
        <v>-4925.4799999999996</v>
      </c>
      <c r="Y35" s="3"/>
      <c r="Z35" s="22">
        <f t="shared" si="19"/>
        <v>-1</v>
      </c>
    </row>
    <row r="36" spans="1:26" s="24" customFormat="1" hidden="1" outlineLevel="1" x14ac:dyDescent="0.3">
      <c r="A36" s="50"/>
      <c r="B36" s="12" t="str">
        <f>CONCATENATE("          ", "5013", " - ", "PURCHASES @ COST-TRADE BOOKS")</f>
        <v xml:space="preserve">          5013 - PURCHASES @ COST-TRADE BOOKS</v>
      </c>
      <c r="C36" s="12"/>
      <c r="D36" s="3"/>
      <c r="E36" s="3"/>
      <c r="F36" s="22">
        <f t="shared" si="12"/>
        <v>0</v>
      </c>
      <c r="G36" s="3"/>
      <c r="H36" s="3">
        <v>108.54</v>
      </c>
      <c r="I36" s="3"/>
      <c r="J36" s="22">
        <f t="shared" si="13"/>
        <v>2.2594349206137734E-3</v>
      </c>
      <c r="K36" s="3"/>
      <c r="L36" s="3">
        <f t="shared" si="14"/>
        <v>-108.54</v>
      </c>
      <c r="M36" s="3"/>
      <c r="N36" s="22">
        <f t="shared" si="15"/>
        <v>-1</v>
      </c>
      <c r="O36" s="12"/>
      <c r="P36" s="3"/>
      <c r="Q36" s="3"/>
      <c r="R36" s="22">
        <f t="shared" si="16"/>
        <v>0</v>
      </c>
      <c r="S36" s="3"/>
      <c r="T36" s="3">
        <v>108.54</v>
      </c>
      <c r="U36" s="3"/>
      <c r="V36" s="22">
        <f t="shared" si="17"/>
        <v>2.2594349206137734E-3</v>
      </c>
      <c r="W36" s="3"/>
      <c r="X36" s="3">
        <f t="shared" si="18"/>
        <v>-108.54</v>
      </c>
      <c r="Y36" s="3"/>
      <c r="Z36" s="22">
        <f t="shared" si="19"/>
        <v>-1</v>
      </c>
    </row>
    <row r="37" spans="1:26" s="24" customFormat="1" hidden="1" outlineLevel="1" x14ac:dyDescent="0.3">
      <c r="A37" s="50"/>
      <c r="B37" s="12" t="str">
        <f>CONCATENATE("          ", "5014", " - ", "PURCHASES @ COST-REMAINDERS")</f>
        <v xml:space="preserve">          5014 - PURCHASES @ COST-REMAINDERS</v>
      </c>
      <c r="C37" s="12"/>
      <c r="D37" s="3"/>
      <c r="E37" s="3"/>
      <c r="F37" s="22">
        <f t="shared" si="12"/>
        <v>0</v>
      </c>
      <c r="G37" s="3"/>
      <c r="H37" s="3">
        <v>-12.51</v>
      </c>
      <c r="I37" s="3"/>
      <c r="J37" s="22">
        <f t="shared" si="13"/>
        <v>-2.6041579930788931E-4</v>
      </c>
      <c r="K37" s="3"/>
      <c r="L37" s="3">
        <f t="shared" si="14"/>
        <v>12.51</v>
      </c>
      <c r="M37" s="3"/>
      <c r="N37" s="22">
        <f t="shared" si="15"/>
        <v>-1</v>
      </c>
      <c r="O37" s="12"/>
      <c r="P37" s="3"/>
      <c r="Q37" s="3"/>
      <c r="R37" s="22">
        <f t="shared" si="16"/>
        <v>0</v>
      </c>
      <c r="S37" s="3"/>
      <c r="T37" s="3">
        <v>-12.51</v>
      </c>
      <c r="U37" s="3"/>
      <c r="V37" s="22">
        <f t="shared" si="17"/>
        <v>-2.6041579930788931E-4</v>
      </c>
      <c r="W37" s="3"/>
      <c r="X37" s="3">
        <f t="shared" si="18"/>
        <v>12.51</v>
      </c>
      <c r="Y37" s="3"/>
      <c r="Z37" s="22">
        <f t="shared" si="19"/>
        <v>-1</v>
      </c>
    </row>
    <row r="38" spans="1:26" s="24" customFormat="1" hidden="1" outlineLevel="1" x14ac:dyDescent="0.3">
      <c r="A38" s="50"/>
      <c r="B38" s="12" t="str">
        <f>CONCATENATE("          ", "5200", " - ", "PURCHASES OFFSET")</f>
        <v xml:space="preserve">          5200 - PURCHASES OFFSET</v>
      </c>
      <c r="C38" s="12"/>
      <c r="D38" s="3">
        <v>-264391.71999999997</v>
      </c>
      <c r="E38" s="3"/>
      <c r="F38" s="22">
        <f t="shared" si="12"/>
        <v>-4.2564998175958646</v>
      </c>
      <c r="G38" s="3"/>
      <c r="H38" s="3">
        <v>-202651.68</v>
      </c>
      <c r="I38" s="3"/>
      <c r="J38" s="22">
        <f t="shared" si="13"/>
        <v>-4.2185211213658356</v>
      </c>
      <c r="K38" s="3"/>
      <c r="L38" s="3">
        <f t="shared" si="14"/>
        <v>-61740.039999999979</v>
      </c>
      <c r="M38" s="3"/>
      <c r="N38" s="22">
        <f t="shared" si="15"/>
        <v>0.30466088413380032</v>
      </c>
      <c r="O38" s="12"/>
      <c r="P38" s="3">
        <v>-264391.71999999997</v>
      </c>
      <c r="Q38" s="3"/>
      <c r="R38" s="22">
        <f t="shared" si="16"/>
        <v>-4.2564998175958646</v>
      </c>
      <c r="S38" s="3"/>
      <c r="T38" s="3">
        <v>-202651.68</v>
      </c>
      <c r="U38" s="3"/>
      <c r="V38" s="22">
        <f t="shared" si="17"/>
        <v>-4.2185211213658356</v>
      </c>
      <c r="W38" s="3"/>
      <c r="X38" s="3">
        <f t="shared" si="18"/>
        <v>-61740.039999999979</v>
      </c>
      <c r="Y38" s="3"/>
      <c r="Z38" s="22">
        <f t="shared" si="19"/>
        <v>0.30466088413380032</v>
      </c>
    </row>
    <row r="39" spans="1:26" s="24" customFormat="1" hidden="1" outlineLevel="1" x14ac:dyDescent="0.3">
      <c r="A39" s="50"/>
      <c r="B39" s="12" t="str">
        <f>CONCATENATE("          ", "5300", " - ", "COG$ OFFSET")</f>
        <v xml:space="preserve">          5300 - COG$ OFFSET</v>
      </c>
      <c r="C39" s="12"/>
      <c r="D39" s="3">
        <v>42691.72</v>
      </c>
      <c r="E39" s="3"/>
      <c r="F39" s="22">
        <f t="shared" si="12"/>
        <v>0.68730328768561189</v>
      </c>
      <c r="G39" s="3"/>
      <c r="H39" s="3">
        <v>26088</v>
      </c>
      <c r="I39" s="3"/>
      <c r="J39" s="22">
        <f t="shared" si="13"/>
        <v>0.54306373879650005</v>
      </c>
      <c r="K39" s="3"/>
      <c r="L39" s="3">
        <f t="shared" si="14"/>
        <v>16603.72</v>
      </c>
      <c r="M39" s="3"/>
      <c r="N39" s="22">
        <f t="shared" si="15"/>
        <v>0.63645047531432075</v>
      </c>
      <c r="O39" s="12"/>
      <c r="P39" s="3">
        <v>42691.72</v>
      </c>
      <c r="Q39" s="3"/>
      <c r="R39" s="22">
        <f t="shared" si="16"/>
        <v>0.68730328768561189</v>
      </c>
      <c r="S39" s="3"/>
      <c r="T39" s="3">
        <v>26088</v>
      </c>
      <c r="U39" s="3"/>
      <c r="V39" s="22">
        <f t="shared" si="17"/>
        <v>0.54306373879650005</v>
      </c>
      <c r="W39" s="3"/>
      <c r="X39" s="3">
        <f t="shared" si="18"/>
        <v>16603.72</v>
      </c>
      <c r="Y39" s="3"/>
      <c r="Z39" s="22">
        <f t="shared" si="19"/>
        <v>0.63645047531432075</v>
      </c>
    </row>
    <row r="40" spans="1:26" s="24" customFormat="1" hidden="1" outlineLevel="1" x14ac:dyDescent="0.3">
      <c r="A40" s="50"/>
      <c r="B40" s="12" t="str">
        <f>CONCATENATE("          ", "5500", " - ", "FREIGHT-IN")</f>
        <v xml:space="preserve">          5500 - FREIGHT-IN</v>
      </c>
      <c r="C40" s="12"/>
      <c r="D40" s="3">
        <v>2183.71</v>
      </c>
      <c r="E40" s="3"/>
      <c r="F40" s="22">
        <f t="shared" si="12"/>
        <v>3.5156022347001895E-2</v>
      </c>
      <c r="G40" s="3"/>
      <c r="H40" s="3">
        <v>0</v>
      </c>
      <c r="I40" s="3"/>
      <c r="J40" s="22">
        <f t="shared" si="13"/>
        <v>0</v>
      </c>
      <c r="K40" s="3"/>
      <c r="L40" s="3">
        <f t="shared" si="14"/>
        <v>2183.71</v>
      </c>
      <c r="M40" s="3"/>
      <c r="N40" s="22">
        <f t="shared" si="15"/>
        <v>0</v>
      </c>
      <c r="O40" s="12"/>
      <c r="P40" s="3">
        <v>2183.71</v>
      </c>
      <c r="Q40" s="3"/>
      <c r="R40" s="22">
        <f t="shared" si="16"/>
        <v>3.5156022347001895E-2</v>
      </c>
      <c r="S40" s="3"/>
      <c r="T40" s="3">
        <v>0</v>
      </c>
      <c r="U40" s="3"/>
      <c r="V40" s="22">
        <f t="shared" si="17"/>
        <v>0</v>
      </c>
      <c r="W40" s="3"/>
      <c r="X40" s="3">
        <f t="shared" si="18"/>
        <v>2183.71</v>
      </c>
      <c r="Y40" s="3"/>
      <c r="Z40" s="22">
        <f t="shared" si="19"/>
        <v>0</v>
      </c>
    </row>
    <row r="41" spans="1:26" s="24" customFormat="1" hidden="1" outlineLevel="1" x14ac:dyDescent="0.3">
      <c r="A41" s="50"/>
      <c r="B41" s="12" t="str">
        <f>CONCATENATE("          ", "5501", " - ", "FREIGHT-IN-NEW TEXT")</f>
        <v xml:space="preserve">          5501 - FREIGHT-IN-NEW TEXT</v>
      </c>
      <c r="C41" s="12"/>
      <c r="D41" s="3">
        <v>0</v>
      </c>
      <c r="E41" s="3"/>
      <c r="F41" s="22">
        <f t="shared" si="12"/>
        <v>0</v>
      </c>
      <c r="G41" s="3"/>
      <c r="H41" s="3">
        <v>802.72</v>
      </c>
      <c r="I41" s="3"/>
      <c r="J41" s="22">
        <f t="shared" si="13"/>
        <v>1.6709909705869618E-2</v>
      </c>
      <c r="K41" s="3"/>
      <c r="L41" s="3">
        <f t="shared" si="14"/>
        <v>-802.72</v>
      </c>
      <c r="M41" s="3"/>
      <c r="N41" s="22">
        <f t="shared" si="15"/>
        <v>-1</v>
      </c>
      <c r="O41" s="12"/>
      <c r="P41" s="3">
        <v>0</v>
      </c>
      <c r="Q41" s="3"/>
      <c r="R41" s="22">
        <f t="shared" si="16"/>
        <v>0</v>
      </c>
      <c r="S41" s="3"/>
      <c r="T41" s="3">
        <v>802.72</v>
      </c>
      <c r="U41" s="3"/>
      <c r="V41" s="22">
        <f t="shared" si="17"/>
        <v>1.6709909705869618E-2</v>
      </c>
      <c r="W41" s="3"/>
      <c r="X41" s="3">
        <f t="shared" si="18"/>
        <v>-802.72</v>
      </c>
      <c r="Y41" s="3"/>
      <c r="Z41" s="22">
        <f t="shared" si="19"/>
        <v>-1</v>
      </c>
    </row>
    <row r="42" spans="1:26" s="24" customFormat="1" hidden="1" outlineLevel="1" x14ac:dyDescent="0.3">
      <c r="A42" s="50"/>
      <c r="B42" s="12" t="str">
        <f>CONCATENATE("          ", "5502", " - ", "FREIGHT-IN-USED TEXT")</f>
        <v xml:space="preserve">          5502 - FREIGHT-IN-USED TEXT</v>
      </c>
      <c r="C42" s="12"/>
      <c r="D42" s="3">
        <v>0</v>
      </c>
      <c r="E42" s="3"/>
      <c r="F42" s="22">
        <f t="shared" si="12"/>
        <v>0</v>
      </c>
      <c r="G42" s="3"/>
      <c r="H42" s="3">
        <v>47.89</v>
      </c>
      <c r="I42" s="3"/>
      <c r="J42" s="22">
        <f t="shared" si="13"/>
        <v>9.9690748432092885E-4</v>
      </c>
      <c r="K42" s="3"/>
      <c r="L42" s="3">
        <f t="shared" si="14"/>
        <v>-47.89</v>
      </c>
      <c r="M42" s="3"/>
      <c r="N42" s="22">
        <f t="shared" si="15"/>
        <v>-1</v>
      </c>
      <c r="O42" s="12"/>
      <c r="P42" s="3">
        <v>0</v>
      </c>
      <c r="Q42" s="3"/>
      <c r="R42" s="22">
        <f t="shared" si="16"/>
        <v>0</v>
      </c>
      <c r="S42" s="3"/>
      <c r="T42" s="3">
        <v>47.89</v>
      </c>
      <c r="U42" s="3"/>
      <c r="V42" s="22">
        <f t="shared" si="17"/>
        <v>9.9690748432092885E-4</v>
      </c>
      <c r="W42" s="3"/>
      <c r="X42" s="3">
        <f t="shared" si="18"/>
        <v>-47.89</v>
      </c>
      <c r="Y42" s="3"/>
      <c r="Z42" s="22">
        <f t="shared" si="19"/>
        <v>-1</v>
      </c>
    </row>
    <row r="43" spans="1:26" s="24" customFormat="1" hidden="1" outlineLevel="1" x14ac:dyDescent="0.3">
      <c r="A43" s="50"/>
      <c r="B43" s="12" t="str">
        <f>CONCATENATE("          ", "5518", " - ", "FREIGHT-IN-STUDY GUIDES")</f>
        <v xml:space="preserve">          5518 - FREIGHT-IN-STUDY GUIDES</v>
      </c>
      <c r="C43" s="12"/>
      <c r="D43" s="3">
        <v>0</v>
      </c>
      <c r="E43" s="3"/>
      <c r="F43" s="22">
        <f t="shared" si="12"/>
        <v>0</v>
      </c>
      <c r="G43" s="3"/>
      <c r="H43" s="3"/>
      <c r="I43" s="3"/>
      <c r="J43" s="22">
        <f t="shared" si="13"/>
        <v>0</v>
      </c>
      <c r="K43" s="3"/>
      <c r="L43" s="3">
        <f t="shared" si="14"/>
        <v>0</v>
      </c>
      <c r="M43" s="3"/>
      <c r="N43" s="22">
        <f t="shared" si="15"/>
        <v>0</v>
      </c>
      <c r="O43" s="12"/>
      <c r="P43" s="3">
        <v>0</v>
      </c>
      <c r="Q43" s="3"/>
      <c r="R43" s="22">
        <f t="shared" si="16"/>
        <v>0</v>
      </c>
      <c r="S43" s="3"/>
      <c r="T43" s="3"/>
      <c r="U43" s="3"/>
      <c r="V43" s="22">
        <f t="shared" si="17"/>
        <v>0</v>
      </c>
      <c r="W43" s="3"/>
      <c r="X43" s="3">
        <f t="shared" si="18"/>
        <v>0</v>
      </c>
      <c r="Y43" s="3"/>
      <c r="Z43" s="22">
        <f t="shared" si="19"/>
        <v>0</v>
      </c>
    </row>
    <row r="44" spans="1:26" x14ac:dyDescent="0.3">
      <c r="A44" s="9"/>
      <c r="B44" s="10"/>
      <c r="C44" s="10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10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23" customFormat="1" x14ac:dyDescent="0.3">
      <c r="A45" s="10"/>
      <c r="B45" s="26" t="s">
        <v>107</v>
      </c>
      <c r="C45" s="26"/>
      <c r="D45" s="20">
        <f>D12-D30</f>
        <v>17413.069999999992</v>
      </c>
      <c r="E45" s="13"/>
      <c r="F45" s="21">
        <f>IF(D$12=0,0,D45/D$12)</f>
        <v>0.28033680207074563</v>
      </c>
      <c r="G45" s="13"/>
      <c r="H45" s="20">
        <f>H12-H30</f>
        <v>17221.279999999962</v>
      </c>
      <c r="I45" s="13"/>
      <c r="J45" s="21">
        <f>IF(H$12=0,0,H45/H$12)</f>
        <v>0.35848868075978879</v>
      </c>
      <c r="K45" s="16"/>
      <c r="L45" s="20">
        <f>+D45-H45</f>
        <v>191.79000000002998</v>
      </c>
      <c r="M45" s="16"/>
      <c r="N45" s="21">
        <f>IF(H45=0,0,L45/H45)</f>
        <v>1.1136802839279682E-2</v>
      </c>
      <c r="O45" s="25"/>
      <c r="P45" s="20">
        <f>P12-P30</f>
        <v>17413.069999999992</v>
      </c>
      <c r="Q45" s="13"/>
      <c r="R45" s="21">
        <f>IF(P$12=0,0,P45/P$12)</f>
        <v>0.28033680207074563</v>
      </c>
      <c r="S45" s="13"/>
      <c r="T45" s="20">
        <f>T12-T30</f>
        <v>17221.279999999962</v>
      </c>
      <c r="U45" s="13"/>
      <c r="V45" s="21">
        <f>IF(T$12=0,0,T45/T$12)</f>
        <v>0.35848868075978879</v>
      </c>
      <c r="W45" s="16"/>
      <c r="X45" s="20">
        <f>+P45-T45</f>
        <v>191.79000000002998</v>
      </c>
      <c r="Y45" s="16"/>
      <c r="Z45" s="21">
        <f>IF(T45=0,0,X45/T45)</f>
        <v>1.1136802839279682E-2</v>
      </c>
    </row>
    <row r="46" spans="1:26" x14ac:dyDescent="0.3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3">
      <c r="A47" s="10"/>
      <c r="B47" s="25" t="s">
        <v>294</v>
      </c>
      <c r="C47" s="10"/>
      <c r="D47" s="19">
        <f>SUM(OSRRefD22x_0)</f>
        <v>49140.74</v>
      </c>
      <c r="E47" s="19"/>
      <c r="F47" s="35">
        <f t="shared" ref="F47:F57" si="20">IF(D$12=0,0,D47/D$12)</f>
        <v>0.79112746362301301</v>
      </c>
      <c r="G47" s="19"/>
      <c r="H47" s="19">
        <f>SUM(OSRRefH22x_0)</f>
        <v>40144.11</v>
      </c>
      <c r="I47" s="19"/>
      <c r="J47" s="35">
        <f t="shared" ref="J47:J57" si="21">IF(H$12=0,0,H47/H$12)</f>
        <v>0.83566430800590186</v>
      </c>
      <c r="K47" s="4"/>
      <c r="L47" s="19">
        <f t="shared" ref="L47:L57" si="22">+D47-H47</f>
        <v>8996.6299999999974</v>
      </c>
      <c r="M47" s="4"/>
      <c r="N47" s="35">
        <f t="shared" ref="N47:N57" si="23">IF(H47=0,0,L47/H47)</f>
        <v>0.22410834366486135</v>
      </c>
      <c r="O47" s="10"/>
      <c r="P47" s="19">
        <f>SUM(OSRRefP22x_0)</f>
        <v>49140.74</v>
      </c>
      <c r="Q47" s="19"/>
      <c r="R47" s="35">
        <f t="shared" ref="R47:R57" si="24">IF(P$12=0,0,P47/P$12)</f>
        <v>0.79112746362301301</v>
      </c>
      <c r="S47" s="19"/>
      <c r="T47" s="19">
        <f>SUM(OSRRefT22x_0)</f>
        <v>40144.11</v>
      </c>
      <c r="U47" s="19"/>
      <c r="V47" s="35">
        <f t="shared" ref="V47:V57" si="25">IF(T$12=0,0,T47/T$12)</f>
        <v>0.83566430800590186</v>
      </c>
      <c r="W47" s="4"/>
      <c r="X47" s="19">
        <f t="shared" ref="X47:X57" si="26">+P47-T47</f>
        <v>8996.6299999999974</v>
      </c>
      <c r="Y47" s="4"/>
      <c r="Z47" s="35">
        <f t="shared" ref="Z47:Z57" si="27">IF(T47=0,0,X47/T47)</f>
        <v>0.22410834366486135</v>
      </c>
    </row>
    <row r="48" spans="1:26" s="29" customFormat="1" outlineLevel="1" collapsed="1" x14ac:dyDescent="0.3">
      <c r="A48" s="28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11803.07</v>
      </c>
      <c r="E48" s="1"/>
      <c r="F48" s="5">
        <f t="shared" si="20"/>
        <v>0.19002019163864597</v>
      </c>
      <c r="G48" s="1"/>
      <c r="H48" s="1">
        <f>SUM(OSRRefH22_0x_0)</f>
        <v>11154.429999999998</v>
      </c>
      <c r="I48" s="1"/>
      <c r="J48" s="5">
        <f t="shared" si="21"/>
        <v>0.2321974264007913</v>
      </c>
      <c r="K48" s="1"/>
      <c r="L48" s="1">
        <f t="shared" si="22"/>
        <v>648.64000000000124</v>
      </c>
      <c r="M48" s="1"/>
      <c r="N48" s="5">
        <f t="shared" si="23"/>
        <v>5.8150887136321744E-2</v>
      </c>
      <c r="O48" s="14"/>
      <c r="P48" s="1">
        <f>SUM(OSRRefP22_0x_0)</f>
        <v>11803.07</v>
      </c>
      <c r="Q48" s="1"/>
      <c r="R48" s="5">
        <f t="shared" si="24"/>
        <v>0.19002019163864597</v>
      </c>
      <c r="S48" s="1"/>
      <c r="T48" s="1">
        <f>SUM(OSRRefT22_0x_0)</f>
        <v>11154.429999999998</v>
      </c>
      <c r="U48" s="1"/>
      <c r="V48" s="5">
        <f t="shared" si="25"/>
        <v>0.2321974264007913</v>
      </c>
      <c r="W48" s="1"/>
      <c r="X48" s="1">
        <f t="shared" si="26"/>
        <v>648.64000000000124</v>
      </c>
      <c r="Y48" s="1"/>
      <c r="Z48" s="5">
        <f t="shared" si="27"/>
        <v>5.8150887136321744E-2</v>
      </c>
    </row>
    <row r="49" spans="1:26" s="24" customFormat="1" hidden="1" outlineLevel="2" x14ac:dyDescent="0.3">
      <c r="A49" s="27"/>
      <c r="B49" s="12" t="str">
        <f>CONCATENATE("          ", "6111", " - ", "F.I.C.A.")</f>
        <v xml:space="preserve">          6111 - F.I.C.A.</v>
      </c>
      <c r="C49" s="12"/>
      <c r="D49" s="8">
        <v>2103.61</v>
      </c>
      <c r="E49" s="3"/>
      <c r="F49" s="7">
        <f t="shared" si="20"/>
        <v>3.3866475021581001E-2</v>
      </c>
      <c r="G49" s="3"/>
      <c r="H49" s="8">
        <v>1802.45</v>
      </c>
      <c r="I49" s="3"/>
      <c r="J49" s="7">
        <f t="shared" si="21"/>
        <v>3.752089987709873E-2</v>
      </c>
      <c r="K49" s="3"/>
      <c r="L49" s="8">
        <f t="shared" si="22"/>
        <v>301.16000000000008</v>
      </c>
      <c r="M49" s="3"/>
      <c r="N49" s="7">
        <f t="shared" si="23"/>
        <v>0.16708369164193185</v>
      </c>
      <c r="O49" s="12"/>
      <c r="P49" s="8">
        <v>2103.61</v>
      </c>
      <c r="Q49" s="3"/>
      <c r="R49" s="7">
        <f t="shared" si="24"/>
        <v>3.3866475021581001E-2</v>
      </c>
      <c r="S49" s="3"/>
      <c r="T49" s="8">
        <v>1802.45</v>
      </c>
      <c r="U49" s="3"/>
      <c r="V49" s="7">
        <f t="shared" si="25"/>
        <v>3.752089987709873E-2</v>
      </c>
      <c r="W49" s="3"/>
      <c r="X49" s="8">
        <f t="shared" si="26"/>
        <v>301.16000000000008</v>
      </c>
      <c r="Y49" s="3"/>
      <c r="Z49" s="7">
        <f t="shared" si="27"/>
        <v>0.16708369164193185</v>
      </c>
    </row>
    <row r="50" spans="1:26" s="24" customFormat="1" hidden="1" outlineLevel="2" x14ac:dyDescent="0.3">
      <c r="A50" s="27"/>
      <c r="B50" s="12" t="str">
        <f>CONCATENATE("          ", "6112", " - ", "COMPENSATION INSURANCE")</f>
        <v xml:space="preserve">          6112 - COMPENSATION INSURANCE</v>
      </c>
      <c r="C50" s="12"/>
      <c r="D50" s="8">
        <v>382.51</v>
      </c>
      <c r="E50" s="3"/>
      <c r="F50" s="7">
        <f t="shared" si="20"/>
        <v>6.1581117034549887E-3</v>
      </c>
      <c r="G50" s="3"/>
      <c r="H50" s="8">
        <v>147.41999999999999</v>
      </c>
      <c r="I50" s="3"/>
      <c r="J50" s="7">
        <f t="shared" si="21"/>
        <v>3.0687847429231845E-3</v>
      </c>
      <c r="K50" s="3"/>
      <c r="L50" s="8">
        <f t="shared" si="22"/>
        <v>235.09</v>
      </c>
      <c r="M50" s="3"/>
      <c r="N50" s="7">
        <f t="shared" si="23"/>
        <v>1.5946954280287615</v>
      </c>
      <c r="O50" s="12"/>
      <c r="P50" s="8">
        <v>382.51</v>
      </c>
      <c r="Q50" s="3"/>
      <c r="R50" s="7">
        <f t="shared" si="24"/>
        <v>6.1581117034549887E-3</v>
      </c>
      <c r="S50" s="3"/>
      <c r="T50" s="8">
        <v>147.41999999999999</v>
      </c>
      <c r="U50" s="3"/>
      <c r="V50" s="7">
        <f t="shared" si="25"/>
        <v>3.0687847429231845E-3</v>
      </c>
      <c r="W50" s="3"/>
      <c r="X50" s="8">
        <f t="shared" si="26"/>
        <v>235.09</v>
      </c>
      <c r="Y50" s="3"/>
      <c r="Z50" s="7">
        <f t="shared" si="27"/>
        <v>1.5946954280287615</v>
      </c>
    </row>
    <row r="51" spans="1:26" s="24" customFormat="1" hidden="1" outlineLevel="2" x14ac:dyDescent="0.3">
      <c r="A51" s="27"/>
      <c r="B51" s="12" t="str">
        <f>CONCATENATE("          ", "6113", " - ", "GROUP INSURANCE")</f>
        <v xml:space="preserve">          6113 - GROUP INSURANCE</v>
      </c>
      <c r="C51" s="12"/>
      <c r="D51" s="8">
        <v>4593.8599999999997</v>
      </c>
      <c r="E51" s="3"/>
      <c r="F51" s="7">
        <f t="shared" si="20"/>
        <v>7.3957551515081266E-2</v>
      </c>
      <c r="G51" s="3"/>
      <c r="H51" s="8">
        <v>4248.21</v>
      </c>
      <c r="I51" s="3"/>
      <c r="J51" s="7">
        <f t="shared" si="21"/>
        <v>8.8433333555377178E-2</v>
      </c>
      <c r="K51" s="3"/>
      <c r="L51" s="8">
        <f t="shared" si="22"/>
        <v>345.64999999999964</v>
      </c>
      <c r="M51" s="3"/>
      <c r="N51" s="7">
        <f t="shared" si="23"/>
        <v>8.1363680232380137E-2</v>
      </c>
      <c r="O51" s="12"/>
      <c r="P51" s="8">
        <v>4593.8599999999997</v>
      </c>
      <c r="Q51" s="3"/>
      <c r="R51" s="7">
        <f t="shared" si="24"/>
        <v>7.3957551515081266E-2</v>
      </c>
      <c r="S51" s="3"/>
      <c r="T51" s="8">
        <v>4248.21</v>
      </c>
      <c r="U51" s="3"/>
      <c r="V51" s="7">
        <f t="shared" si="25"/>
        <v>8.8433333555377178E-2</v>
      </c>
      <c r="W51" s="3"/>
      <c r="X51" s="8">
        <f t="shared" si="26"/>
        <v>345.64999999999964</v>
      </c>
      <c r="Y51" s="3"/>
      <c r="Z51" s="7">
        <f t="shared" si="27"/>
        <v>8.1363680232380137E-2</v>
      </c>
    </row>
    <row r="52" spans="1:26" s="24" customFormat="1" hidden="1" outlineLevel="2" x14ac:dyDescent="0.3">
      <c r="A52" s="27"/>
      <c r="B52" s="12" t="str">
        <f>CONCATENATE("          ", "6114", " - ", "STATE UNEMPLOYMENT INSURANCE")</f>
        <v xml:space="preserve">          6114 - STATE UNEMPLOYMENT INSURANCE</v>
      </c>
      <c r="C52" s="12"/>
      <c r="D52" s="8">
        <v>74.709999999999994</v>
      </c>
      <c r="E52" s="3"/>
      <c r="F52" s="7">
        <f t="shared" si="20"/>
        <v>1.2027725428488724E-3</v>
      </c>
      <c r="G52" s="3"/>
      <c r="H52" s="8">
        <v>61.43</v>
      </c>
      <c r="I52" s="3"/>
      <c r="J52" s="7">
        <f t="shared" si="21"/>
        <v>1.2787643926046074E-3</v>
      </c>
      <c r="K52" s="3"/>
      <c r="L52" s="8">
        <f t="shared" si="22"/>
        <v>13.279999999999994</v>
      </c>
      <c r="M52" s="3"/>
      <c r="N52" s="7">
        <f t="shared" si="23"/>
        <v>0.2161810190460686</v>
      </c>
      <c r="O52" s="12"/>
      <c r="P52" s="8">
        <v>74.709999999999994</v>
      </c>
      <c r="Q52" s="3"/>
      <c r="R52" s="7">
        <f t="shared" si="24"/>
        <v>1.2027725428488724E-3</v>
      </c>
      <c r="S52" s="3"/>
      <c r="T52" s="8">
        <v>61.43</v>
      </c>
      <c r="U52" s="3"/>
      <c r="V52" s="7">
        <f t="shared" si="25"/>
        <v>1.2787643926046074E-3</v>
      </c>
      <c r="W52" s="3"/>
      <c r="X52" s="8">
        <f t="shared" si="26"/>
        <v>13.279999999999994</v>
      </c>
      <c r="Y52" s="3"/>
      <c r="Z52" s="7">
        <f t="shared" si="27"/>
        <v>0.2161810190460686</v>
      </c>
    </row>
    <row r="53" spans="1:26" s="24" customFormat="1" hidden="1" outlineLevel="2" x14ac:dyDescent="0.3">
      <c r="A53" s="27"/>
      <c r="B53" s="12" t="str">
        <f>CONCATENATE("          ", "6115", " - ", "P.E.R.S.")</f>
        <v xml:space="preserve">          6115 - P.E.R.S.</v>
      </c>
      <c r="C53" s="12"/>
      <c r="D53" s="8">
        <v>1607.1</v>
      </c>
      <c r="E53" s="3"/>
      <c r="F53" s="7">
        <f t="shared" si="20"/>
        <v>2.5873052517901524E-2</v>
      </c>
      <c r="G53" s="3"/>
      <c r="H53" s="8">
        <v>2220.3200000000002</v>
      </c>
      <c r="I53" s="3"/>
      <c r="J53" s="7">
        <f t="shared" si="21"/>
        <v>4.6219536971965854E-2</v>
      </c>
      <c r="K53" s="3"/>
      <c r="L53" s="8">
        <f t="shared" si="22"/>
        <v>-613.22000000000025</v>
      </c>
      <c r="M53" s="3"/>
      <c r="N53" s="7">
        <f t="shared" si="23"/>
        <v>-0.27618541471499614</v>
      </c>
      <c r="O53" s="12"/>
      <c r="P53" s="8">
        <v>1607.1</v>
      </c>
      <c r="Q53" s="3"/>
      <c r="R53" s="7">
        <f t="shared" si="24"/>
        <v>2.5873052517901524E-2</v>
      </c>
      <c r="S53" s="3"/>
      <c r="T53" s="8">
        <v>2220.3200000000002</v>
      </c>
      <c r="U53" s="3"/>
      <c r="V53" s="7">
        <f t="shared" si="25"/>
        <v>4.6219536971965854E-2</v>
      </c>
      <c r="W53" s="3"/>
      <c r="X53" s="8">
        <f t="shared" si="26"/>
        <v>-613.22000000000025</v>
      </c>
      <c r="Y53" s="3"/>
      <c r="Z53" s="7">
        <f t="shared" si="27"/>
        <v>-0.27618541471499614</v>
      </c>
    </row>
    <row r="54" spans="1:26" s="24" customFormat="1" hidden="1" outlineLevel="2" x14ac:dyDescent="0.3">
      <c r="A54" s="27"/>
      <c r="B54" s="12" t="str">
        <f>CONCATENATE("          ", "6117", " - ", "RETIREMENT STAFF HOURLY")</f>
        <v xml:space="preserve">          6117 - RETIREMENT STAFF HOURLY</v>
      </c>
      <c r="C54" s="12"/>
      <c r="D54" s="8">
        <v>253.61</v>
      </c>
      <c r="E54" s="3"/>
      <c r="F54" s="7">
        <f t="shared" si="20"/>
        <v>4.0829225617976519E-3</v>
      </c>
      <c r="G54" s="3"/>
      <c r="H54" s="8">
        <v>333.14</v>
      </c>
      <c r="I54" s="3"/>
      <c r="J54" s="7">
        <f t="shared" si="21"/>
        <v>6.9348456739752387E-3</v>
      </c>
      <c r="K54" s="3"/>
      <c r="L54" s="8">
        <f t="shared" si="22"/>
        <v>-79.529999999999973</v>
      </c>
      <c r="M54" s="3"/>
      <c r="N54" s="7">
        <f t="shared" si="23"/>
        <v>-0.23872846250825472</v>
      </c>
      <c r="O54" s="12"/>
      <c r="P54" s="8">
        <v>253.61</v>
      </c>
      <c r="Q54" s="3"/>
      <c r="R54" s="7">
        <f t="shared" si="24"/>
        <v>4.0829225617976519E-3</v>
      </c>
      <c r="S54" s="3"/>
      <c r="T54" s="8">
        <v>333.14</v>
      </c>
      <c r="U54" s="3"/>
      <c r="V54" s="7">
        <f t="shared" si="25"/>
        <v>6.9348456739752387E-3</v>
      </c>
      <c r="W54" s="3"/>
      <c r="X54" s="8">
        <f t="shared" si="26"/>
        <v>-79.529999999999973</v>
      </c>
      <c r="Y54" s="3"/>
      <c r="Z54" s="7">
        <f t="shared" si="27"/>
        <v>-0.23872846250825472</v>
      </c>
    </row>
    <row r="55" spans="1:26" s="24" customFormat="1" hidden="1" outlineLevel="2" x14ac:dyDescent="0.3">
      <c r="A55" s="27"/>
      <c r="B55" s="12" t="str">
        <f>CONCATENATE("          ", "6118", " - ", "VACATION")</f>
        <v xml:space="preserve">          6118 - VACATION</v>
      </c>
      <c r="C55" s="12"/>
      <c r="D55" s="8">
        <v>1357.34</v>
      </c>
      <c r="E55" s="3"/>
      <c r="F55" s="7">
        <f t="shared" si="20"/>
        <v>2.1852111943655314E-2</v>
      </c>
      <c r="G55" s="3"/>
      <c r="H55" s="8">
        <v>967.81</v>
      </c>
      <c r="I55" s="3"/>
      <c r="J55" s="7">
        <f t="shared" si="21"/>
        <v>2.0146523959086199E-2</v>
      </c>
      <c r="K55" s="3"/>
      <c r="L55" s="8">
        <f t="shared" si="22"/>
        <v>389.53</v>
      </c>
      <c r="M55" s="3"/>
      <c r="N55" s="7">
        <f t="shared" si="23"/>
        <v>0.4024860251495645</v>
      </c>
      <c r="O55" s="12"/>
      <c r="P55" s="8">
        <v>1357.34</v>
      </c>
      <c r="Q55" s="3"/>
      <c r="R55" s="7">
        <f t="shared" si="24"/>
        <v>2.1852111943655314E-2</v>
      </c>
      <c r="S55" s="3"/>
      <c r="T55" s="8">
        <v>967.81</v>
      </c>
      <c r="U55" s="3"/>
      <c r="V55" s="7">
        <f t="shared" si="25"/>
        <v>2.0146523959086199E-2</v>
      </c>
      <c r="W55" s="3"/>
      <c r="X55" s="8">
        <f t="shared" si="26"/>
        <v>389.53</v>
      </c>
      <c r="Y55" s="3"/>
      <c r="Z55" s="7">
        <f t="shared" si="27"/>
        <v>0.4024860251495645</v>
      </c>
    </row>
    <row r="56" spans="1:26" s="24" customFormat="1" hidden="1" outlineLevel="2" x14ac:dyDescent="0.3">
      <c r="A56" s="27"/>
      <c r="B56" s="12" t="str">
        <f>CONCATENATE("          ", "6119", " - ", "SICK LEAVE")</f>
        <v xml:space="preserve">          6119 - SICK LEAVE</v>
      </c>
      <c r="C56" s="12"/>
      <c r="D56" s="8">
        <v>1071.9000000000001</v>
      </c>
      <c r="E56" s="3"/>
      <c r="F56" s="7">
        <f t="shared" si="20"/>
        <v>1.7256751287373931E-2</v>
      </c>
      <c r="G56" s="3"/>
      <c r="H56" s="8">
        <v>944.6</v>
      </c>
      <c r="I56" s="3"/>
      <c r="J56" s="7">
        <f t="shared" si="21"/>
        <v>1.9663370425757973E-2</v>
      </c>
      <c r="K56" s="3"/>
      <c r="L56" s="8">
        <f t="shared" si="22"/>
        <v>127.30000000000007</v>
      </c>
      <c r="M56" s="3"/>
      <c r="N56" s="7">
        <f t="shared" si="23"/>
        <v>0.13476603853482963</v>
      </c>
      <c r="O56" s="12"/>
      <c r="P56" s="8">
        <v>1071.9000000000001</v>
      </c>
      <c r="Q56" s="3"/>
      <c r="R56" s="7">
        <f t="shared" si="24"/>
        <v>1.7256751287373931E-2</v>
      </c>
      <c r="S56" s="3"/>
      <c r="T56" s="8">
        <v>944.6</v>
      </c>
      <c r="U56" s="3"/>
      <c r="V56" s="7">
        <f t="shared" si="25"/>
        <v>1.9663370425757973E-2</v>
      </c>
      <c r="W56" s="3"/>
      <c r="X56" s="8">
        <f t="shared" si="26"/>
        <v>127.30000000000007</v>
      </c>
      <c r="Y56" s="3"/>
      <c r="Z56" s="7">
        <f t="shared" si="27"/>
        <v>0.13476603853482963</v>
      </c>
    </row>
    <row r="57" spans="1:26" s="24" customFormat="1" hidden="1" outlineLevel="2" x14ac:dyDescent="0.3">
      <c r="A57" s="27"/>
      <c r="B57" s="12" t="str">
        <f>CONCATENATE("          ", "6156", " - ", "EMPLOYEE MEALS")</f>
        <v xml:space="preserve">          6156 - EMPLOYEE MEALS</v>
      </c>
      <c r="C57" s="12"/>
      <c r="D57" s="8">
        <v>358.43</v>
      </c>
      <c r="E57" s="3"/>
      <c r="F57" s="7">
        <f t="shared" si="20"/>
        <v>5.7704425449514301E-3</v>
      </c>
      <c r="G57" s="3"/>
      <c r="H57" s="8">
        <v>429.05</v>
      </c>
      <c r="I57" s="3"/>
      <c r="J57" s="7">
        <f t="shared" si="21"/>
        <v>8.9313668020023912E-3</v>
      </c>
      <c r="K57" s="3"/>
      <c r="L57" s="8">
        <f t="shared" si="22"/>
        <v>-70.62</v>
      </c>
      <c r="M57" s="3"/>
      <c r="N57" s="7">
        <f t="shared" si="23"/>
        <v>-0.16459620090898497</v>
      </c>
      <c r="O57" s="12"/>
      <c r="P57" s="8">
        <v>358.43</v>
      </c>
      <c r="Q57" s="3"/>
      <c r="R57" s="7">
        <f t="shared" si="24"/>
        <v>5.7704425449514301E-3</v>
      </c>
      <c r="S57" s="3"/>
      <c r="T57" s="8">
        <v>429.05</v>
      </c>
      <c r="U57" s="3"/>
      <c r="V57" s="7">
        <f t="shared" si="25"/>
        <v>8.9313668020023912E-3</v>
      </c>
      <c r="W57" s="3"/>
      <c r="X57" s="8">
        <f t="shared" si="26"/>
        <v>-70.62</v>
      </c>
      <c r="Y57" s="3"/>
      <c r="Z57" s="7">
        <f t="shared" si="27"/>
        <v>-0.16459620090898497</v>
      </c>
    </row>
    <row r="58" spans="1:26" s="29" customFormat="1" outlineLevel="1" collapsed="1" x14ac:dyDescent="0.3">
      <c r="A58" s="28"/>
      <c r="B58" s="14" t="str">
        <f>CONCATENATE("     ","*Payroll                                          ")</f>
        <v xml:space="preserve">     *Payroll                                          </v>
      </c>
      <c r="C58" s="14"/>
      <c r="D58" s="1">
        <f>SUM(OSRRefD22_1x_0)</f>
        <v>32421.75</v>
      </c>
      <c r="E58" s="1"/>
      <c r="F58" s="5">
        <f t="shared" ref="F58:F64" si="28">IF(D$12=0,0,D58/D$12)</f>
        <v>0.52196480646647614</v>
      </c>
      <c r="G58" s="1"/>
      <c r="H58" s="1">
        <f>SUM(OSRRefH22_1x_0)</f>
        <v>29301.230000000003</v>
      </c>
      <c r="I58" s="1"/>
      <c r="J58" s="5">
        <f t="shared" ref="J58:J64" si="29">IF(H$12=0,0,H58/H$12)</f>
        <v>0.60995229665502049</v>
      </c>
      <c r="K58" s="1"/>
      <c r="L58" s="1">
        <f t="shared" ref="L58:L64" si="30">+D58-H58</f>
        <v>3120.5199999999968</v>
      </c>
      <c r="M58" s="1"/>
      <c r="N58" s="5">
        <f t="shared" ref="N58:N64" si="31">IF(H58=0,0,L58/H58)</f>
        <v>0.10649791834677236</v>
      </c>
      <c r="O58" s="14"/>
      <c r="P58" s="1">
        <f>SUM(OSRRefP22_1x_0)</f>
        <v>32421.75</v>
      </c>
      <c r="Q58" s="1"/>
      <c r="R58" s="5">
        <f t="shared" ref="R58:R64" si="32">IF(P$12=0,0,P58/P$12)</f>
        <v>0.52196480646647614</v>
      </c>
      <c r="S58" s="1"/>
      <c r="T58" s="1">
        <f>SUM(OSRRefT22_1x_0)</f>
        <v>29301.230000000003</v>
      </c>
      <c r="U58" s="1"/>
      <c r="V58" s="5">
        <f t="shared" ref="V58:V64" si="33">IF(T$12=0,0,T58/T$12)</f>
        <v>0.60995229665502049</v>
      </c>
      <c r="W58" s="1"/>
      <c r="X58" s="1">
        <f t="shared" ref="X58:X64" si="34">+P58-T58</f>
        <v>3120.5199999999968</v>
      </c>
      <c r="Y58" s="1"/>
      <c r="Z58" s="5">
        <f t="shared" ref="Z58:Z64" si="35">IF(T58=0,0,X58/T58)</f>
        <v>0.10649791834677236</v>
      </c>
    </row>
    <row r="59" spans="1:26" s="24" customFormat="1" hidden="1" outlineLevel="2" x14ac:dyDescent="0.3">
      <c r="A59" s="27"/>
      <c r="B59" s="12" t="str">
        <f>CONCATENATE("          ", "6001", " - ", "ADMINISTRATIVE SALARIES")</f>
        <v xml:space="preserve">          6001 - ADMINISTRATIVE SALARIES</v>
      </c>
      <c r="C59" s="12"/>
      <c r="D59" s="8"/>
      <c r="E59" s="3"/>
      <c r="F59" s="7">
        <f t="shared" si="28"/>
        <v>0</v>
      </c>
      <c r="G59" s="3"/>
      <c r="H59" s="8">
        <v>-311.32</v>
      </c>
      <c r="I59" s="3"/>
      <c r="J59" s="7">
        <f t="shared" si="29"/>
        <v>-6.4806272294590005E-3</v>
      </c>
      <c r="K59" s="3"/>
      <c r="L59" s="8">
        <f t="shared" si="30"/>
        <v>311.32</v>
      </c>
      <c r="M59" s="3"/>
      <c r="N59" s="7">
        <f t="shared" si="31"/>
        <v>-1</v>
      </c>
      <c r="O59" s="12"/>
      <c r="P59" s="8"/>
      <c r="Q59" s="3"/>
      <c r="R59" s="7">
        <f t="shared" si="32"/>
        <v>0</v>
      </c>
      <c r="S59" s="3"/>
      <c r="T59" s="8">
        <v>-311.32</v>
      </c>
      <c r="U59" s="3"/>
      <c r="V59" s="7">
        <f t="shared" si="33"/>
        <v>-6.4806272294590005E-3</v>
      </c>
      <c r="W59" s="3"/>
      <c r="X59" s="8">
        <f t="shared" si="34"/>
        <v>311.32</v>
      </c>
      <c r="Y59" s="3"/>
      <c r="Z59" s="7">
        <f t="shared" si="35"/>
        <v>-1</v>
      </c>
    </row>
    <row r="60" spans="1:26" s="24" customFormat="1" hidden="1" outlineLevel="2" x14ac:dyDescent="0.3">
      <c r="A60" s="27"/>
      <c r="B60" s="12" t="str">
        <f>CONCATENATE("          ", "6002", " - ", "STAFF SALARIES")</f>
        <v xml:space="preserve">          6002 - STAFF SALARIES</v>
      </c>
      <c r="C60" s="12"/>
      <c r="D60" s="8">
        <v>19061.23</v>
      </c>
      <c r="E60" s="3"/>
      <c r="F60" s="7">
        <f t="shared" si="28"/>
        <v>0.30687088846107902</v>
      </c>
      <c r="G60" s="3"/>
      <c r="H60" s="8">
        <v>18429.759999999998</v>
      </c>
      <c r="I60" s="3"/>
      <c r="J60" s="7">
        <f t="shared" si="29"/>
        <v>0.38364513840548087</v>
      </c>
      <c r="K60" s="3"/>
      <c r="L60" s="8">
        <f t="shared" si="30"/>
        <v>631.47000000000116</v>
      </c>
      <c r="M60" s="3"/>
      <c r="N60" s="7">
        <f t="shared" si="31"/>
        <v>3.4263604083829696E-2</v>
      </c>
      <c r="O60" s="12"/>
      <c r="P60" s="8">
        <v>19061.23</v>
      </c>
      <c r="Q60" s="3"/>
      <c r="R60" s="7">
        <f t="shared" si="32"/>
        <v>0.30687088846107902</v>
      </c>
      <c r="S60" s="3"/>
      <c r="T60" s="8">
        <v>18429.759999999998</v>
      </c>
      <c r="U60" s="3"/>
      <c r="V60" s="7">
        <f t="shared" si="33"/>
        <v>0.38364513840548087</v>
      </c>
      <c r="W60" s="3"/>
      <c r="X60" s="8">
        <f t="shared" si="34"/>
        <v>631.47000000000116</v>
      </c>
      <c r="Y60" s="3"/>
      <c r="Z60" s="7">
        <f t="shared" si="35"/>
        <v>3.4263604083829696E-2</v>
      </c>
    </row>
    <row r="61" spans="1:26" s="24" customFormat="1" hidden="1" outlineLevel="2" x14ac:dyDescent="0.3">
      <c r="A61" s="27"/>
      <c r="B61" s="12" t="str">
        <f>CONCATENATE("          ", "6004", " - ", "STAFF HOURLY")</f>
        <v xml:space="preserve">          6004 - STAFF HOURLY</v>
      </c>
      <c r="C61" s="12"/>
      <c r="D61" s="8">
        <v>6184.05</v>
      </c>
      <c r="E61" s="3"/>
      <c r="F61" s="7">
        <f t="shared" si="28"/>
        <v>9.9558366264282827E-2</v>
      </c>
      <c r="G61" s="3"/>
      <c r="H61" s="8">
        <v>5507.97</v>
      </c>
      <c r="I61" s="3"/>
      <c r="J61" s="7">
        <f t="shared" si="29"/>
        <v>0.1146572669955136</v>
      </c>
      <c r="K61" s="3"/>
      <c r="L61" s="8">
        <f t="shared" si="30"/>
        <v>676.07999999999993</v>
      </c>
      <c r="M61" s="3"/>
      <c r="N61" s="7">
        <f t="shared" si="31"/>
        <v>0.12274576658914263</v>
      </c>
      <c r="O61" s="12"/>
      <c r="P61" s="8">
        <v>6184.05</v>
      </c>
      <c r="Q61" s="3"/>
      <c r="R61" s="7">
        <f t="shared" si="32"/>
        <v>9.9558366264282827E-2</v>
      </c>
      <c r="S61" s="3"/>
      <c r="T61" s="8">
        <v>5507.97</v>
      </c>
      <c r="U61" s="3"/>
      <c r="V61" s="7">
        <f t="shared" si="33"/>
        <v>0.1146572669955136</v>
      </c>
      <c r="W61" s="3"/>
      <c r="X61" s="8">
        <f t="shared" si="34"/>
        <v>676.07999999999993</v>
      </c>
      <c r="Y61" s="3"/>
      <c r="Z61" s="7">
        <f t="shared" si="35"/>
        <v>0.12274576658914263</v>
      </c>
    </row>
    <row r="62" spans="1:26" s="24" customFormat="1" hidden="1" outlineLevel="2" x14ac:dyDescent="0.3">
      <c r="A62" s="27"/>
      <c r="B62" s="12" t="str">
        <f>CONCATENATE("          ", "6005", " - ", "TEMPORARY WAGES-HOURLY")</f>
        <v xml:space="preserve">          6005 - TEMPORARY WAGES-HOURLY</v>
      </c>
      <c r="C62" s="12"/>
      <c r="D62" s="8">
        <v>3877.79</v>
      </c>
      <c r="E62" s="3"/>
      <c r="F62" s="7">
        <f t="shared" si="28"/>
        <v>6.2429384807039606E-2</v>
      </c>
      <c r="G62" s="3"/>
      <c r="H62" s="8">
        <v>1986.02</v>
      </c>
      <c r="I62" s="3"/>
      <c r="J62" s="7">
        <f t="shared" si="29"/>
        <v>4.1342205095240149E-2</v>
      </c>
      <c r="K62" s="3"/>
      <c r="L62" s="8">
        <f t="shared" si="30"/>
        <v>1891.77</v>
      </c>
      <c r="M62" s="3"/>
      <c r="N62" s="7">
        <f t="shared" si="31"/>
        <v>0.95254327750979351</v>
      </c>
      <c r="O62" s="12"/>
      <c r="P62" s="8">
        <v>3877.79</v>
      </c>
      <c r="Q62" s="3"/>
      <c r="R62" s="7">
        <f t="shared" si="32"/>
        <v>6.2429384807039606E-2</v>
      </c>
      <c r="S62" s="3"/>
      <c r="T62" s="8">
        <v>1986.02</v>
      </c>
      <c r="U62" s="3"/>
      <c r="V62" s="7">
        <f t="shared" si="33"/>
        <v>4.1342205095240149E-2</v>
      </c>
      <c r="W62" s="3"/>
      <c r="X62" s="8">
        <f t="shared" si="34"/>
        <v>1891.77</v>
      </c>
      <c r="Y62" s="3"/>
      <c r="Z62" s="7">
        <f t="shared" si="35"/>
        <v>0.95254327750979351</v>
      </c>
    </row>
    <row r="63" spans="1:26" s="24" customFormat="1" hidden="1" outlineLevel="2" x14ac:dyDescent="0.3">
      <c r="A63" s="27"/>
      <c r="B63" s="12" t="str">
        <f>CONCATENATE("          ", "6006", " - ", "TEMPORARY PART TIME")</f>
        <v xml:space="preserve">          6006 - TEMPORARY PART TIME</v>
      </c>
      <c r="C63" s="12"/>
      <c r="D63" s="8"/>
      <c r="E63" s="3"/>
      <c r="F63" s="7">
        <f t="shared" si="28"/>
        <v>0</v>
      </c>
      <c r="G63" s="3"/>
      <c r="H63" s="8">
        <v>502.29</v>
      </c>
      <c r="I63" s="3"/>
      <c r="J63" s="7">
        <f t="shared" si="29"/>
        <v>1.0455975366455613E-2</v>
      </c>
      <c r="K63" s="3"/>
      <c r="L63" s="8">
        <f t="shared" si="30"/>
        <v>-502.29</v>
      </c>
      <c r="M63" s="3"/>
      <c r="N63" s="7">
        <f t="shared" si="31"/>
        <v>-1</v>
      </c>
      <c r="O63" s="12"/>
      <c r="P63" s="8"/>
      <c r="Q63" s="3"/>
      <c r="R63" s="7">
        <f t="shared" si="32"/>
        <v>0</v>
      </c>
      <c r="S63" s="3"/>
      <c r="T63" s="8">
        <v>502.29</v>
      </c>
      <c r="U63" s="3"/>
      <c r="V63" s="7">
        <f t="shared" si="33"/>
        <v>1.0455975366455613E-2</v>
      </c>
      <c r="W63" s="3"/>
      <c r="X63" s="8">
        <f t="shared" si="34"/>
        <v>-502.29</v>
      </c>
      <c r="Y63" s="3"/>
      <c r="Z63" s="7">
        <f t="shared" si="35"/>
        <v>-1</v>
      </c>
    </row>
    <row r="64" spans="1:26" s="24" customFormat="1" hidden="1" outlineLevel="2" x14ac:dyDescent="0.3">
      <c r="A64" s="27"/>
      <c r="B64" s="12" t="str">
        <f>CONCATENATE("          ", "6007", " - ", "STUDENT HOURLY")</f>
        <v xml:space="preserve">          6007 - STUDENT HOURLY</v>
      </c>
      <c r="C64" s="12"/>
      <c r="D64" s="8">
        <v>3298.68</v>
      </c>
      <c r="E64" s="3"/>
      <c r="F64" s="7">
        <f t="shared" si="28"/>
        <v>5.3106166934074668E-2</v>
      </c>
      <c r="G64" s="3"/>
      <c r="H64" s="8">
        <v>3186.51</v>
      </c>
      <c r="I64" s="3"/>
      <c r="J64" s="7">
        <f t="shared" si="29"/>
        <v>6.6332338021789158E-2</v>
      </c>
      <c r="K64" s="3"/>
      <c r="L64" s="8">
        <f t="shared" si="30"/>
        <v>112.16999999999962</v>
      </c>
      <c r="M64" s="3"/>
      <c r="N64" s="7">
        <f t="shared" si="31"/>
        <v>3.5201521413709545E-2</v>
      </c>
      <c r="O64" s="12"/>
      <c r="P64" s="8">
        <v>3298.68</v>
      </c>
      <c r="Q64" s="3"/>
      <c r="R64" s="7">
        <f t="shared" si="32"/>
        <v>5.3106166934074668E-2</v>
      </c>
      <c r="S64" s="3"/>
      <c r="T64" s="8">
        <v>3186.51</v>
      </c>
      <c r="U64" s="3"/>
      <c r="V64" s="7">
        <f t="shared" si="33"/>
        <v>6.6332338021789158E-2</v>
      </c>
      <c r="W64" s="3"/>
      <c r="X64" s="8">
        <f t="shared" si="34"/>
        <v>112.16999999999962</v>
      </c>
      <c r="Y64" s="3"/>
      <c r="Z64" s="7">
        <f t="shared" si="35"/>
        <v>3.5201521413709545E-2</v>
      </c>
    </row>
    <row r="65" spans="1:26" s="29" customFormat="1" outlineLevel="1" collapsed="1" x14ac:dyDescent="0.3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0</v>
      </c>
      <c r="E65" s="1"/>
      <c r="F65" s="5">
        <f t="shared" ref="F65:F81" si="36">IF(D$12=0,0,D65/D$12)</f>
        <v>0</v>
      </c>
      <c r="G65" s="1"/>
      <c r="H65" s="1">
        <f>SUM(OSRRefH22_2x_0)</f>
        <v>1249.9000000000001</v>
      </c>
      <c r="I65" s="1"/>
      <c r="J65" s="5">
        <f t="shared" ref="J65:J81" si="37">IF(H$12=0,0,H65/H$12)</f>
        <v>2.6018681659067216E-2</v>
      </c>
      <c r="K65" s="1"/>
      <c r="L65" s="1">
        <f t="shared" ref="L65:L81" si="38">+D65-H65</f>
        <v>-1249.9000000000001</v>
      </c>
      <c r="M65" s="1"/>
      <c r="N65" s="5">
        <f t="shared" ref="N65:N81" si="39">IF(H65=0,0,L65/H65)</f>
        <v>-1</v>
      </c>
      <c r="O65" s="14"/>
      <c r="P65" s="1">
        <f>SUM(OSRRefP22_2x_0)</f>
        <v>0</v>
      </c>
      <c r="Q65" s="1"/>
      <c r="R65" s="5">
        <f t="shared" ref="R65:R81" si="40">IF(P$12=0,0,P65/P$12)</f>
        <v>0</v>
      </c>
      <c r="S65" s="1"/>
      <c r="T65" s="1">
        <f>SUM(OSRRefT22_2x_0)</f>
        <v>1249.9000000000001</v>
      </c>
      <c r="U65" s="1"/>
      <c r="V65" s="5">
        <f t="shared" ref="V65:V81" si="41">IF(T$12=0,0,T65/T$12)</f>
        <v>2.6018681659067216E-2</v>
      </c>
      <c r="W65" s="1"/>
      <c r="X65" s="1">
        <f t="shared" ref="X65:X81" si="42">+P65-T65</f>
        <v>-1249.9000000000001</v>
      </c>
      <c r="Y65" s="1"/>
      <c r="Z65" s="5">
        <f t="shared" ref="Z65:Z81" si="43">IF(T65=0,0,X65/T65)</f>
        <v>-1</v>
      </c>
    </row>
    <row r="66" spans="1:26" s="24" customFormat="1" hidden="1" outlineLevel="2" x14ac:dyDescent="0.3">
      <c r="A66" s="27"/>
      <c r="B66" s="12" t="str">
        <f>CONCATENATE("          ", "6362", " - ", "ADVERTISING EXPENSE")</f>
        <v xml:space="preserve">          6362 - ADVERTISING EXPENSE</v>
      </c>
      <c r="C66" s="12"/>
      <c r="D66" s="8"/>
      <c r="E66" s="3"/>
      <c r="F66" s="7">
        <f t="shared" si="36"/>
        <v>0</v>
      </c>
      <c r="G66" s="3"/>
      <c r="H66" s="8">
        <v>1249.9000000000001</v>
      </c>
      <c r="I66" s="3"/>
      <c r="J66" s="7">
        <f t="shared" si="37"/>
        <v>2.6018681659067216E-2</v>
      </c>
      <c r="K66" s="3"/>
      <c r="L66" s="8">
        <f t="shared" si="38"/>
        <v>-1249.9000000000001</v>
      </c>
      <c r="M66" s="3"/>
      <c r="N66" s="7">
        <f t="shared" si="39"/>
        <v>-1</v>
      </c>
      <c r="O66" s="12"/>
      <c r="P66" s="8"/>
      <c r="Q66" s="3"/>
      <c r="R66" s="7">
        <f t="shared" si="40"/>
        <v>0</v>
      </c>
      <c r="S66" s="3"/>
      <c r="T66" s="8">
        <v>1249.9000000000001</v>
      </c>
      <c r="U66" s="3"/>
      <c r="V66" s="7">
        <f t="shared" si="41"/>
        <v>2.6018681659067216E-2</v>
      </c>
      <c r="W66" s="3"/>
      <c r="X66" s="8">
        <f t="shared" si="42"/>
        <v>-1249.9000000000001</v>
      </c>
      <c r="Y66" s="3"/>
      <c r="Z66" s="7">
        <f t="shared" si="43"/>
        <v>-1</v>
      </c>
    </row>
    <row r="67" spans="1:26" s="29" customFormat="1" outlineLevel="1" collapsed="1" x14ac:dyDescent="0.3">
      <c r="A67" s="28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SUM(OSRRefD22_3x_0)</f>
        <v>0</v>
      </c>
      <c r="E67" s="1"/>
      <c r="F67" s="5">
        <f t="shared" si="36"/>
        <v>0</v>
      </c>
      <c r="G67" s="1"/>
      <c r="H67" s="1">
        <f>SUM(OSRRefH22_3x_0)</f>
        <v>0</v>
      </c>
      <c r="I67" s="1"/>
      <c r="J67" s="5">
        <f t="shared" si="37"/>
        <v>0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SUM(OSRRefP22_3x_0)</f>
        <v>0</v>
      </c>
      <c r="Q67" s="1"/>
      <c r="R67" s="5">
        <f t="shared" si="40"/>
        <v>0</v>
      </c>
      <c r="S67" s="1"/>
      <c r="T67" s="1">
        <f>SUM(OSRRefT22_3x_0)</f>
        <v>0</v>
      </c>
      <c r="U67" s="1"/>
      <c r="V67" s="5">
        <f t="shared" si="41"/>
        <v>0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2" t="str">
        <f>CONCATENATE("          ", "6382", " - ", "DISCOUNTS/MARK DOWNS")</f>
        <v xml:space="preserve">          6382 - DISCOUNTS/MARK DOWNS</v>
      </c>
      <c r="C68" s="12"/>
      <c r="D68" s="8"/>
      <c r="E68" s="3"/>
      <c r="F68" s="7">
        <f t="shared" si="36"/>
        <v>0</v>
      </c>
      <c r="G68" s="3"/>
      <c r="H68" s="8">
        <v>0</v>
      </c>
      <c r="I68" s="3"/>
      <c r="J68" s="7">
        <f t="shared" si="37"/>
        <v>0</v>
      </c>
      <c r="K68" s="3"/>
      <c r="L68" s="8">
        <f t="shared" si="38"/>
        <v>0</v>
      </c>
      <c r="M68" s="3"/>
      <c r="N68" s="7">
        <f t="shared" si="39"/>
        <v>0</v>
      </c>
      <c r="O68" s="12"/>
      <c r="P68" s="8"/>
      <c r="Q68" s="3"/>
      <c r="R68" s="7">
        <f t="shared" si="40"/>
        <v>0</v>
      </c>
      <c r="S68" s="3"/>
      <c r="T68" s="8">
        <v>0</v>
      </c>
      <c r="U68" s="3"/>
      <c r="V68" s="7">
        <f t="shared" si="41"/>
        <v>0</v>
      </c>
      <c r="W68" s="3"/>
      <c r="X68" s="8">
        <f t="shared" si="42"/>
        <v>0</v>
      </c>
      <c r="Y68" s="3"/>
      <c r="Z68" s="7">
        <f t="shared" si="43"/>
        <v>0</v>
      </c>
    </row>
    <row r="69" spans="1:26" s="29" customFormat="1" outlineLevel="1" collapsed="1" x14ac:dyDescent="0.3">
      <c r="A69" s="28"/>
      <c r="B69" s="14" t="str">
        <f>CONCATENATE("     ","Employees' Appreciation                           ")</f>
        <v xml:space="preserve">     Employees' Appreciation                           </v>
      </c>
      <c r="C69" s="14"/>
      <c r="D69" s="1">
        <f>SUM(OSRRefD22_4x_0)</f>
        <v>0</v>
      </c>
      <c r="E69" s="1"/>
      <c r="F69" s="5">
        <f t="shared" si="36"/>
        <v>0</v>
      </c>
      <c r="G69" s="1"/>
      <c r="H69" s="1">
        <f>SUM(OSRRefH22_4x_0)</f>
        <v>107.7</v>
      </c>
      <c r="I69" s="1"/>
      <c r="J69" s="5">
        <f t="shared" si="37"/>
        <v>2.2419489676626441E-3</v>
      </c>
      <c r="K69" s="1"/>
      <c r="L69" s="1">
        <f t="shared" si="38"/>
        <v>-107.7</v>
      </c>
      <c r="M69" s="1"/>
      <c r="N69" s="5">
        <f t="shared" si="39"/>
        <v>-1</v>
      </c>
      <c r="O69" s="14"/>
      <c r="P69" s="1">
        <f>SUM(OSRRefP22_4x_0)</f>
        <v>0</v>
      </c>
      <c r="Q69" s="1"/>
      <c r="R69" s="5">
        <f t="shared" si="40"/>
        <v>0</v>
      </c>
      <c r="S69" s="1"/>
      <c r="T69" s="1">
        <f>SUM(OSRRefT22_4x_0)</f>
        <v>107.7</v>
      </c>
      <c r="U69" s="1"/>
      <c r="V69" s="5">
        <f t="shared" si="41"/>
        <v>2.2419489676626441E-3</v>
      </c>
      <c r="W69" s="1"/>
      <c r="X69" s="1">
        <f t="shared" si="42"/>
        <v>-107.7</v>
      </c>
      <c r="Y69" s="1"/>
      <c r="Z69" s="5">
        <f t="shared" si="43"/>
        <v>-1</v>
      </c>
    </row>
    <row r="70" spans="1:26" s="24" customFormat="1" hidden="1" outlineLevel="2" x14ac:dyDescent="0.3">
      <c r="A70" s="27"/>
      <c r="B70" s="12" t="str">
        <f>CONCATENATE("          ", "6277", " - ", "EMPLOYEE APPRECIATION")</f>
        <v xml:space="preserve">          6277 - EMPLOYEE APPRECIATION</v>
      </c>
      <c r="C70" s="12"/>
      <c r="D70" s="8"/>
      <c r="E70" s="3"/>
      <c r="F70" s="7">
        <f t="shared" si="36"/>
        <v>0</v>
      </c>
      <c r="G70" s="3"/>
      <c r="H70" s="8">
        <v>107.7</v>
      </c>
      <c r="I70" s="3"/>
      <c r="J70" s="7">
        <f t="shared" si="37"/>
        <v>2.2419489676626441E-3</v>
      </c>
      <c r="K70" s="3"/>
      <c r="L70" s="8">
        <f t="shared" si="38"/>
        <v>-107.7</v>
      </c>
      <c r="M70" s="3"/>
      <c r="N70" s="7">
        <f t="shared" si="39"/>
        <v>-1</v>
      </c>
      <c r="O70" s="12"/>
      <c r="P70" s="8"/>
      <c r="Q70" s="3"/>
      <c r="R70" s="7">
        <f t="shared" si="40"/>
        <v>0</v>
      </c>
      <c r="S70" s="3"/>
      <c r="T70" s="8">
        <v>107.7</v>
      </c>
      <c r="U70" s="3"/>
      <c r="V70" s="7">
        <f t="shared" si="41"/>
        <v>2.2419489676626441E-3</v>
      </c>
      <c r="W70" s="3"/>
      <c r="X70" s="8">
        <f t="shared" si="42"/>
        <v>-107.7</v>
      </c>
      <c r="Y70" s="3"/>
      <c r="Z70" s="7">
        <f t="shared" si="43"/>
        <v>-1</v>
      </c>
    </row>
    <row r="71" spans="1:26" s="29" customFormat="1" outlineLevel="1" collapsed="1" x14ac:dyDescent="0.3">
      <c r="A71" s="28"/>
      <c r="B71" s="14" t="str">
        <f>CONCATENATE("     ","Equipment Rental                                  ")</f>
        <v xml:space="preserve">     Equipment Rental                                  </v>
      </c>
      <c r="C71" s="14"/>
      <c r="D71" s="1">
        <f>SUM(OSRRefD22_5x_0)</f>
        <v>91.26</v>
      </c>
      <c r="E71" s="1"/>
      <c r="F71" s="5">
        <f t="shared" si="36"/>
        <v>1.4692145932323397E-3</v>
      </c>
      <c r="G71" s="1"/>
      <c r="H71" s="1">
        <f>SUM(OSRRefH22_5x_0)</f>
        <v>91.26</v>
      </c>
      <c r="I71" s="1"/>
      <c r="J71" s="5">
        <f t="shared" si="37"/>
        <v>1.8997238884762573E-3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SUM(OSRRefP22_5x_0)</f>
        <v>91.26</v>
      </c>
      <c r="Q71" s="1"/>
      <c r="R71" s="5">
        <f t="shared" si="40"/>
        <v>1.4692145932323397E-3</v>
      </c>
      <c r="S71" s="1"/>
      <c r="T71" s="1">
        <f>SUM(OSRRefT22_5x_0)</f>
        <v>91.26</v>
      </c>
      <c r="U71" s="1"/>
      <c r="V71" s="5">
        <f t="shared" si="41"/>
        <v>1.8997238884762573E-3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3">
      <c r="A72" s="27"/>
      <c r="B72" s="12" t="str">
        <f>CONCATENATE("          ", "6351", " - ", "EQUIPMENT RENTAL")</f>
        <v xml:space="preserve">          6351 - EQUIPMENT RENTAL</v>
      </c>
      <c r="C72" s="12"/>
      <c r="D72" s="8">
        <v>91.26</v>
      </c>
      <c r="E72" s="3"/>
      <c r="F72" s="7">
        <f t="shared" si="36"/>
        <v>1.4692145932323397E-3</v>
      </c>
      <c r="G72" s="3"/>
      <c r="H72" s="8">
        <v>91.26</v>
      </c>
      <c r="I72" s="3"/>
      <c r="J72" s="7">
        <f t="shared" si="37"/>
        <v>1.8997238884762573E-3</v>
      </c>
      <c r="K72" s="3"/>
      <c r="L72" s="8">
        <f t="shared" si="38"/>
        <v>0</v>
      </c>
      <c r="M72" s="3"/>
      <c r="N72" s="7">
        <f t="shared" si="39"/>
        <v>0</v>
      </c>
      <c r="O72" s="12"/>
      <c r="P72" s="8">
        <v>91.26</v>
      </c>
      <c r="Q72" s="3"/>
      <c r="R72" s="7">
        <f t="shared" si="40"/>
        <v>1.4692145932323397E-3</v>
      </c>
      <c r="S72" s="3"/>
      <c r="T72" s="8">
        <v>91.26</v>
      </c>
      <c r="U72" s="3"/>
      <c r="V72" s="7">
        <f t="shared" si="41"/>
        <v>1.8997238884762573E-3</v>
      </c>
      <c r="W72" s="3"/>
      <c r="X72" s="8">
        <f t="shared" si="42"/>
        <v>0</v>
      </c>
      <c r="Y72" s="3"/>
      <c r="Z72" s="7">
        <f t="shared" si="43"/>
        <v>0</v>
      </c>
    </row>
    <row r="73" spans="1:26" s="29" customFormat="1" outlineLevel="1" collapsed="1" x14ac:dyDescent="0.3">
      <c r="A73" s="28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SUM(OSRRefD22_6x_0)</f>
        <v>132.66999999999999</v>
      </c>
      <c r="E73" s="1"/>
      <c r="F73" s="5">
        <f t="shared" si="36"/>
        <v>2.1358831918051116E-3</v>
      </c>
      <c r="G73" s="1"/>
      <c r="H73" s="1">
        <f>SUM(OSRRefH22_6x_0)</f>
        <v>167.5</v>
      </c>
      <c r="I73" s="1"/>
      <c r="J73" s="5">
        <f t="shared" si="37"/>
        <v>3.4867822848977984E-3</v>
      </c>
      <c r="K73" s="1"/>
      <c r="L73" s="1">
        <f t="shared" si="38"/>
        <v>-34.830000000000013</v>
      </c>
      <c r="M73" s="1"/>
      <c r="N73" s="5">
        <f t="shared" si="39"/>
        <v>-0.20794029850746276</v>
      </c>
      <c r="O73" s="14"/>
      <c r="P73" s="1">
        <f>SUM(OSRRefP22_6x_0)</f>
        <v>132.66999999999999</v>
      </c>
      <c r="Q73" s="1"/>
      <c r="R73" s="5">
        <f t="shared" si="40"/>
        <v>2.1358831918051116E-3</v>
      </c>
      <c r="S73" s="1"/>
      <c r="T73" s="1">
        <f>SUM(OSRRefT22_6x_0)</f>
        <v>167.5</v>
      </c>
      <c r="U73" s="1"/>
      <c r="V73" s="5">
        <f t="shared" si="41"/>
        <v>3.4867822848977984E-3</v>
      </c>
      <c r="W73" s="1"/>
      <c r="X73" s="1">
        <f t="shared" si="42"/>
        <v>-34.830000000000013</v>
      </c>
      <c r="Y73" s="1"/>
      <c r="Z73" s="5">
        <f t="shared" si="43"/>
        <v>-0.20794029850746276</v>
      </c>
    </row>
    <row r="74" spans="1:26" s="24" customFormat="1" hidden="1" outlineLevel="2" x14ac:dyDescent="0.3">
      <c r="A74" s="27"/>
      <c r="B74" s="12" t="str">
        <f>CONCATENATE("          ", "6305", " - ", "FREIGHT OUT")</f>
        <v xml:space="preserve">          6305 - FREIGHT OUT</v>
      </c>
      <c r="C74" s="12"/>
      <c r="D74" s="8">
        <v>132.66999999999999</v>
      </c>
      <c r="E74" s="3"/>
      <c r="F74" s="7">
        <f t="shared" si="36"/>
        <v>2.1358831918051116E-3</v>
      </c>
      <c r="G74" s="3"/>
      <c r="H74" s="8">
        <v>167.5</v>
      </c>
      <c r="I74" s="3"/>
      <c r="J74" s="7">
        <f t="shared" si="37"/>
        <v>3.4867822848977984E-3</v>
      </c>
      <c r="K74" s="3"/>
      <c r="L74" s="8">
        <f t="shared" si="38"/>
        <v>-34.830000000000013</v>
      </c>
      <c r="M74" s="3"/>
      <c r="N74" s="7">
        <f t="shared" si="39"/>
        <v>-0.20794029850746276</v>
      </c>
      <c r="O74" s="12"/>
      <c r="P74" s="8">
        <v>132.66999999999999</v>
      </c>
      <c r="Q74" s="3"/>
      <c r="R74" s="7">
        <f t="shared" si="40"/>
        <v>2.1358831918051116E-3</v>
      </c>
      <c r="S74" s="3"/>
      <c r="T74" s="8">
        <v>167.5</v>
      </c>
      <c r="U74" s="3"/>
      <c r="V74" s="7">
        <f t="shared" si="41"/>
        <v>3.4867822848977984E-3</v>
      </c>
      <c r="W74" s="3"/>
      <c r="X74" s="8">
        <f t="shared" si="42"/>
        <v>-34.830000000000013</v>
      </c>
      <c r="Y74" s="3"/>
      <c r="Z74" s="7">
        <f t="shared" si="43"/>
        <v>-0.20794029850746276</v>
      </c>
    </row>
    <row r="75" spans="1:26" s="29" customFormat="1" outlineLevel="1" collapsed="1" x14ac:dyDescent="0.3">
      <c r="A75" s="28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SUM(OSRRefD22_7x_0)</f>
        <v>0</v>
      </c>
      <c r="E75" s="1"/>
      <c r="F75" s="5">
        <f t="shared" si="36"/>
        <v>0</v>
      </c>
      <c r="G75" s="1"/>
      <c r="H75" s="1">
        <f>SUM(OSRRefH22_7x_0)</f>
        <v>-4794.1899999999996</v>
      </c>
      <c r="I75" s="1"/>
      <c r="J75" s="5">
        <f t="shared" si="37"/>
        <v>-9.979878664139806E-2</v>
      </c>
      <c r="K75" s="1"/>
      <c r="L75" s="1">
        <f t="shared" si="38"/>
        <v>4794.1899999999996</v>
      </c>
      <c r="M75" s="1"/>
      <c r="N75" s="5">
        <f t="shared" si="39"/>
        <v>-1</v>
      </c>
      <c r="O75" s="14"/>
      <c r="P75" s="1">
        <f>SUM(OSRRefP22_7x_0)</f>
        <v>0</v>
      </c>
      <c r="Q75" s="1"/>
      <c r="R75" s="5">
        <f t="shared" si="40"/>
        <v>0</v>
      </c>
      <c r="S75" s="1"/>
      <c r="T75" s="1">
        <f>SUM(OSRRefT22_7x_0)</f>
        <v>-4794.1899999999996</v>
      </c>
      <c r="U75" s="1"/>
      <c r="V75" s="5">
        <f t="shared" si="41"/>
        <v>-9.979878664139806E-2</v>
      </c>
      <c r="W75" s="1"/>
      <c r="X75" s="1">
        <f t="shared" si="42"/>
        <v>4794.1899999999996</v>
      </c>
      <c r="Y75" s="1"/>
      <c r="Z75" s="5">
        <f t="shared" si="43"/>
        <v>-1</v>
      </c>
    </row>
    <row r="76" spans="1:26" s="24" customFormat="1" hidden="1" outlineLevel="2" x14ac:dyDescent="0.3">
      <c r="A76" s="27"/>
      <c r="B76" s="12" t="str">
        <f>CONCATENATE("          ", "6279", " - ", "GENERAL EXPENSE")</f>
        <v xml:space="preserve">          6279 - GENERAL EXPENSE</v>
      </c>
      <c r="C76" s="12"/>
      <c r="D76" s="8"/>
      <c r="E76" s="3"/>
      <c r="F76" s="7">
        <f t="shared" si="36"/>
        <v>0</v>
      </c>
      <c r="G76" s="3"/>
      <c r="H76" s="8">
        <v>-4794.1899999999996</v>
      </c>
      <c r="I76" s="3"/>
      <c r="J76" s="7">
        <f t="shared" si="37"/>
        <v>-9.979878664139806E-2</v>
      </c>
      <c r="K76" s="3"/>
      <c r="L76" s="8">
        <f t="shared" si="38"/>
        <v>4794.1899999999996</v>
      </c>
      <c r="M76" s="3"/>
      <c r="N76" s="7">
        <f t="shared" si="39"/>
        <v>-1</v>
      </c>
      <c r="O76" s="12"/>
      <c r="P76" s="8"/>
      <c r="Q76" s="3"/>
      <c r="R76" s="7">
        <f t="shared" si="40"/>
        <v>0</v>
      </c>
      <c r="S76" s="3"/>
      <c r="T76" s="8">
        <v>-4794.1899999999996</v>
      </c>
      <c r="U76" s="3"/>
      <c r="V76" s="7">
        <f t="shared" si="41"/>
        <v>-9.979878664139806E-2</v>
      </c>
      <c r="W76" s="3"/>
      <c r="X76" s="8">
        <f t="shared" si="42"/>
        <v>4794.1899999999996</v>
      </c>
      <c r="Y76" s="3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SUM(OSRRefD22_8x_0)</f>
        <v>1000</v>
      </c>
      <c r="E77" s="1"/>
      <c r="F77" s="5">
        <f t="shared" si="36"/>
        <v>1.6099217545828836E-2</v>
      </c>
      <c r="G77" s="1"/>
      <c r="H77" s="1">
        <f>SUM(OSRRefH22_8x_0)</f>
        <v>1000</v>
      </c>
      <c r="I77" s="1"/>
      <c r="J77" s="5">
        <f t="shared" si="37"/>
        <v>2.0816610656106259E-2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SUM(OSRRefP22_8x_0)</f>
        <v>1000</v>
      </c>
      <c r="Q77" s="1"/>
      <c r="R77" s="5">
        <f t="shared" si="40"/>
        <v>1.6099217545828836E-2</v>
      </c>
      <c r="S77" s="1"/>
      <c r="T77" s="1">
        <f>SUM(OSRRefT22_8x_0)</f>
        <v>1000</v>
      </c>
      <c r="U77" s="1"/>
      <c r="V77" s="5">
        <f t="shared" si="41"/>
        <v>2.0816610656106259E-2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2" t="str">
        <f>CONCATENATE("          ", "6408", " - ", "INVENTORY ADJUSTMENT")</f>
        <v xml:space="preserve">          6408 - INVENTORY ADJUSTMENT</v>
      </c>
      <c r="C78" s="12"/>
      <c r="D78" s="8">
        <v>1000</v>
      </c>
      <c r="E78" s="3"/>
      <c r="F78" s="7">
        <f t="shared" si="36"/>
        <v>1.6099217545828836E-2</v>
      </c>
      <c r="G78" s="3"/>
      <c r="H78" s="8">
        <v>1000</v>
      </c>
      <c r="I78" s="3"/>
      <c r="J78" s="7">
        <f t="shared" si="37"/>
        <v>2.0816610656106259E-2</v>
      </c>
      <c r="K78" s="3"/>
      <c r="L78" s="8">
        <f t="shared" si="38"/>
        <v>0</v>
      </c>
      <c r="M78" s="3"/>
      <c r="N78" s="7">
        <f t="shared" si="39"/>
        <v>0</v>
      </c>
      <c r="O78" s="12"/>
      <c r="P78" s="8">
        <v>1000</v>
      </c>
      <c r="Q78" s="3"/>
      <c r="R78" s="7">
        <f t="shared" si="40"/>
        <v>1.6099217545828836E-2</v>
      </c>
      <c r="S78" s="3"/>
      <c r="T78" s="8">
        <v>1000</v>
      </c>
      <c r="U78" s="3"/>
      <c r="V78" s="7">
        <f t="shared" si="41"/>
        <v>2.0816610656106259E-2</v>
      </c>
      <c r="W78" s="3"/>
      <c r="X78" s="8">
        <f t="shared" si="42"/>
        <v>0</v>
      </c>
      <c r="Y78" s="3"/>
      <c r="Z78" s="7">
        <f t="shared" si="43"/>
        <v>0</v>
      </c>
    </row>
    <row r="79" spans="1:26" s="29" customFormat="1" outlineLevel="1" collapsed="1" x14ac:dyDescent="0.3">
      <c r="A79" s="28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SUM(OSRRefD22_9x_0)</f>
        <v>2900.53</v>
      </c>
      <c r="E79" s="1"/>
      <c r="F79" s="5">
        <f t="shared" si="36"/>
        <v>4.6696263468202923E-2</v>
      </c>
      <c r="G79" s="1"/>
      <c r="H79" s="1">
        <f>SUM(OSRRefH22_9x_0)</f>
        <v>22.86</v>
      </c>
      <c r="I79" s="1"/>
      <c r="J79" s="5">
        <f t="shared" si="37"/>
        <v>4.7586771959858909E-4</v>
      </c>
      <c r="K79" s="1"/>
      <c r="L79" s="1">
        <f t="shared" si="38"/>
        <v>2877.67</v>
      </c>
      <c r="M79" s="1"/>
      <c r="N79" s="5">
        <f t="shared" si="39"/>
        <v>125.88232720909888</v>
      </c>
      <c r="O79" s="14"/>
      <c r="P79" s="1">
        <f>SUM(OSRRefP22_9x_0)</f>
        <v>2900.53</v>
      </c>
      <c r="Q79" s="1"/>
      <c r="R79" s="5">
        <f t="shared" si="40"/>
        <v>4.6696263468202923E-2</v>
      </c>
      <c r="S79" s="1"/>
      <c r="T79" s="1">
        <f>SUM(OSRRefT22_9x_0)</f>
        <v>22.86</v>
      </c>
      <c r="U79" s="1"/>
      <c r="V79" s="5">
        <f t="shared" si="41"/>
        <v>4.7586771959858909E-4</v>
      </c>
      <c r="W79" s="1"/>
      <c r="X79" s="1">
        <f t="shared" si="42"/>
        <v>2877.67</v>
      </c>
      <c r="Y79" s="1"/>
      <c r="Z79" s="5">
        <f t="shared" si="43"/>
        <v>125.88232720909888</v>
      </c>
    </row>
    <row r="80" spans="1:26" s="24" customFormat="1" hidden="1" outlineLevel="2" x14ac:dyDescent="0.3">
      <c r="A80" s="27"/>
      <c r="B80" s="12" t="str">
        <f>CONCATENATE("          ", "6371", " - ", "COMPUTER SOFTWARE MAINTENANCE")</f>
        <v xml:space="preserve">          6371 - COMPUTER SOFTWARE MAINTENANCE</v>
      </c>
      <c r="C80" s="12"/>
      <c r="D80" s="8">
        <v>2887.5</v>
      </c>
      <c r="E80" s="3"/>
      <c r="F80" s="7">
        <f t="shared" si="36"/>
        <v>4.6486490663580772E-2</v>
      </c>
      <c r="G80" s="3"/>
      <c r="H80" s="8"/>
      <c r="I80" s="3"/>
      <c r="J80" s="7">
        <f t="shared" si="37"/>
        <v>0</v>
      </c>
      <c r="K80" s="3"/>
      <c r="L80" s="8">
        <f t="shared" si="38"/>
        <v>2887.5</v>
      </c>
      <c r="M80" s="3"/>
      <c r="N80" s="7">
        <f t="shared" si="39"/>
        <v>0</v>
      </c>
      <c r="O80" s="12"/>
      <c r="P80" s="8">
        <v>2887.5</v>
      </c>
      <c r="Q80" s="3"/>
      <c r="R80" s="7">
        <f t="shared" si="40"/>
        <v>4.6486490663580772E-2</v>
      </c>
      <c r="S80" s="3"/>
      <c r="T80" s="8"/>
      <c r="U80" s="3"/>
      <c r="V80" s="7">
        <f t="shared" si="41"/>
        <v>0</v>
      </c>
      <c r="W80" s="3"/>
      <c r="X80" s="8">
        <f t="shared" si="42"/>
        <v>2887.5</v>
      </c>
      <c r="Y80" s="3"/>
      <c r="Z80" s="7">
        <f t="shared" si="43"/>
        <v>0</v>
      </c>
    </row>
    <row r="81" spans="1:26" s="24" customFormat="1" hidden="1" outlineLevel="2" x14ac:dyDescent="0.3">
      <c r="A81" s="27"/>
      <c r="B81" s="12" t="str">
        <f>CONCATENATE("          ", "6373", " - ", "MAINTENANCE CONTRACTS")</f>
        <v xml:space="preserve">          6373 - MAINTENANCE CONTRACTS</v>
      </c>
      <c r="C81" s="12"/>
      <c r="D81" s="8">
        <v>13.03</v>
      </c>
      <c r="E81" s="3"/>
      <c r="F81" s="7">
        <f t="shared" si="36"/>
        <v>2.0977280462214975E-4</v>
      </c>
      <c r="G81" s="3"/>
      <c r="H81" s="8">
        <v>22.86</v>
      </c>
      <c r="I81" s="3"/>
      <c r="J81" s="7">
        <f t="shared" si="37"/>
        <v>4.7586771959858909E-4</v>
      </c>
      <c r="K81" s="3"/>
      <c r="L81" s="8">
        <f t="shared" si="38"/>
        <v>-9.83</v>
      </c>
      <c r="M81" s="3"/>
      <c r="N81" s="7">
        <f t="shared" si="39"/>
        <v>-0.43000874890638674</v>
      </c>
      <c r="O81" s="12"/>
      <c r="P81" s="8">
        <v>13.03</v>
      </c>
      <c r="Q81" s="3"/>
      <c r="R81" s="7">
        <f t="shared" si="40"/>
        <v>2.0977280462214975E-4</v>
      </c>
      <c r="S81" s="3"/>
      <c r="T81" s="8">
        <v>22.86</v>
      </c>
      <c r="U81" s="3"/>
      <c r="V81" s="7">
        <f t="shared" si="41"/>
        <v>4.7586771959858909E-4</v>
      </c>
      <c r="W81" s="3"/>
      <c r="X81" s="8">
        <f t="shared" si="42"/>
        <v>-9.83</v>
      </c>
      <c r="Y81" s="3"/>
      <c r="Z81" s="7">
        <f t="shared" si="43"/>
        <v>-0.43000874890638674</v>
      </c>
    </row>
    <row r="82" spans="1:26" s="29" customFormat="1" outlineLevel="1" collapsed="1" x14ac:dyDescent="0.3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SUM(OSRRefD22_10x_0)</f>
        <v>68.319999999999993</v>
      </c>
      <c r="E82" s="1"/>
      <c r="F82" s="5">
        <f t="shared" ref="F82:F86" si="44">IF(D$12=0,0,D82/D$12)</f>
        <v>1.0998985427310261E-3</v>
      </c>
      <c r="G82" s="1"/>
      <c r="H82" s="1">
        <f>SUM(OSRRefH22_10x_0)</f>
        <v>290</v>
      </c>
      <c r="I82" s="1"/>
      <c r="J82" s="5">
        <f t="shared" ref="J82:J86" si="45">IF(H$12=0,0,H82/H$12)</f>
        <v>6.036817090270815E-3</v>
      </c>
      <c r="K82" s="1"/>
      <c r="L82" s="1">
        <f t="shared" ref="L82:L86" si="46">+D82-H82</f>
        <v>-221.68</v>
      </c>
      <c r="M82" s="1"/>
      <c r="N82" s="5">
        <f t="shared" ref="N82:N86" si="47">IF(H82=0,0,L82/H82)</f>
        <v>-0.76441379310344826</v>
      </c>
      <c r="O82" s="14"/>
      <c r="P82" s="1">
        <f>SUM(OSRRefP22_10x_0)</f>
        <v>68.319999999999993</v>
      </c>
      <c r="Q82" s="1"/>
      <c r="R82" s="5">
        <f t="shared" ref="R82:R86" si="48">IF(P$12=0,0,P82/P$12)</f>
        <v>1.0998985427310261E-3</v>
      </c>
      <c r="S82" s="1"/>
      <c r="T82" s="1">
        <f>SUM(OSRRefT22_10x_0)</f>
        <v>290</v>
      </c>
      <c r="U82" s="1"/>
      <c r="V82" s="5">
        <f t="shared" ref="V82:V86" si="49">IF(T$12=0,0,T82/T$12)</f>
        <v>6.036817090270815E-3</v>
      </c>
      <c r="W82" s="1"/>
      <c r="X82" s="1">
        <f t="shared" ref="X82:X86" si="50">+P82-T82</f>
        <v>-221.68</v>
      </c>
      <c r="Y82" s="1"/>
      <c r="Z82" s="5">
        <f t="shared" ref="Z82:Z86" si="51">IF(T82=0,0,X82/T82)</f>
        <v>-0.76441379310344826</v>
      </c>
    </row>
    <row r="83" spans="1:26" s="24" customFormat="1" hidden="1" outlineLevel="2" x14ac:dyDescent="0.3">
      <c r="A83" s="27"/>
      <c r="B83" s="12" t="str">
        <f>CONCATENATE("          ", "6258", " - ", "MEMBERSHIP DUES")</f>
        <v xml:space="preserve">          6258 - MEMBERSHIP DUES</v>
      </c>
      <c r="C83" s="12"/>
      <c r="D83" s="8">
        <v>68.319999999999993</v>
      </c>
      <c r="E83" s="3"/>
      <c r="F83" s="7">
        <f t="shared" si="44"/>
        <v>1.0998985427310261E-3</v>
      </c>
      <c r="G83" s="3"/>
      <c r="H83" s="8">
        <v>290</v>
      </c>
      <c r="I83" s="3"/>
      <c r="J83" s="7">
        <f t="shared" si="45"/>
        <v>6.036817090270815E-3</v>
      </c>
      <c r="K83" s="3"/>
      <c r="L83" s="8">
        <f t="shared" si="46"/>
        <v>-221.68</v>
      </c>
      <c r="M83" s="3"/>
      <c r="N83" s="7">
        <f t="shared" si="47"/>
        <v>-0.76441379310344826</v>
      </c>
      <c r="O83" s="12"/>
      <c r="P83" s="8">
        <v>68.319999999999993</v>
      </c>
      <c r="Q83" s="3"/>
      <c r="R83" s="7">
        <f t="shared" si="48"/>
        <v>1.0998985427310261E-3</v>
      </c>
      <c r="S83" s="3"/>
      <c r="T83" s="8">
        <v>290</v>
      </c>
      <c r="U83" s="3"/>
      <c r="V83" s="7">
        <f t="shared" si="49"/>
        <v>6.036817090270815E-3</v>
      </c>
      <c r="W83" s="3"/>
      <c r="X83" s="8">
        <f t="shared" si="50"/>
        <v>-221.68</v>
      </c>
      <c r="Y83" s="3"/>
      <c r="Z83" s="7">
        <f t="shared" si="51"/>
        <v>-0.76441379310344826</v>
      </c>
    </row>
    <row r="84" spans="1:26" s="29" customFormat="1" outlineLevel="1" collapsed="1" x14ac:dyDescent="0.3">
      <c r="A84" s="28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SUM(OSRRefD22_11x_0)</f>
        <v>115.74</v>
      </c>
      <c r="E84" s="1"/>
      <c r="F84" s="5">
        <f t="shared" si="44"/>
        <v>1.8633234387542296E-3</v>
      </c>
      <c r="G84" s="1"/>
      <c r="H84" s="1">
        <f>SUM(OSRRefH22_11x_0)</f>
        <v>792.76</v>
      </c>
      <c r="I84" s="1"/>
      <c r="J84" s="5">
        <f t="shared" si="45"/>
        <v>1.6502576263734799E-2</v>
      </c>
      <c r="K84" s="1"/>
      <c r="L84" s="1">
        <f t="shared" si="46"/>
        <v>-677.02</v>
      </c>
      <c r="M84" s="1"/>
      <c r="N84" s="5">
        <f t="shared" si="47"/>
        <v>-0.85400373379080674</v>
      </c>
      <c r="O84" s="14"/>
      <c r="P84" s="1">
        <f>SUM(OSRRefP22_11x_0)</f>
        <v>115.74</v>
      </c>
      <c r="Q84" s="1"/>
      <c r="R84" s="5">
        <f t="shared" si="48"/>
        <v>1.8633234387542296E-3</v>
      </c>
      <c r="S84" s="1"/>
      <c r="T84" s="1">
        <f>SUM(OSRRefT22_11x_0)</f>
        <v>792.76</v>
      </c>
      <c r="U84" s="1"/>
      <c r="V84" s="5">
        <f t="shared" si="49"/>
        <v>1.6502576263734799E-2</v>
      </c>
      <c r="W84" s="1"/>
      <c r="X84" s="1">
        <f t="shared" si="50"/>
        <v>-677.02</v>
      </c>
      <c r="Y84" s="1"/>
      <c r="Z84" s="5">
        <f t="shared" si="51"/>
        <v>-0.85400373379080674</v>
      </c>
    </row>
    <row r="85" spans="1:26" s="24" customFormat="1" hidden="1" outlineLevel="2" x14ac:dyDescent="0.3">
      <c r="A85" s="27"/>
      <c r="B85" s="12" t="str">
        <f>CONCATENATE("          ", "6241", " - ", "OFFICE EXPENSE")</f>
        <v xml:space="preserve">          6241 - OFFICE EXPENSE</v>
      </c>
      <c r="C85" s="12"/>
      <c r="D85" s="8">
        <v>115.74</v>
      </c>
      <c r="E85" s="3"/>
      <c r="F85" s="7">
        <f t="shared" si="44"/>
        <v>1.8633234387542296E-3</v>
      </c>
      <c r="G85" s="3"/>
      <c r="H85" s="8">
        <v>159.66</v>
      </c>
      <c r="I85" s="3"/>
      <c r="J85" s="7">
        <f t="shared" si="45"/>
        <v>3.3235800573539255E-3</v>
      </c>
      <c r="K85" s="3"/>
      <c r="L85" s="8">
        <f t="shared" si="46"/>
        <v>-43.92</v>
      </c>
      <c r="M85" s="3"/>
      <c r="N85" s="7">
        <f t="shared" si="47"/>
        <v>-0.27508455467869225</v>
      </c>
      <c r="O85" s="12"/>
      <c r="P85" s="8">
        <v>115.74</v>
      </c>
      <c r="Q85" s="3"/>
      <c r="R85" s="7">
        <f t="shared" si="48"/>
        <v>1.8633234387542296E-3</v>
      </c>
      <c r="S85" s="3"/>
      <c r="T85" s="8">
        <v>159.66</v>
      </c>
      <c r="U85" s="3"/>
      <c r="V85" s="7">
        <f t="shared" si="49"/>
        <v>3.3235800573539255E-3</v>
      </c>
      <c r="W85" s="3"/>
      <c r="X85" s="8">
        <f t="shared" si="50"/>
        <v>-43.92</v>
      </c>
      <c r="Y85" s="3"/>
      <c r="Z85" s="7">
        <f t="shared" si="51"/>
        <v>-0.27508455467869225</v>
      </c>
    </row>
    <row r="86" spans="1:26" s="24" customFormat="1" hidden="1" outlineLevel="2" x14ac:dyDescent="0.3">
      <c r="A86" s="27"/>
      <c r="B86" s="12" t="str">
        <f>CONCATENATE("          ", "6247", " - ", "STORE SUPPLIES")</f>
        <v xml:space="preserve">          6247 - STORE SUPPLIES</v>
      </c>
      <c r="C86" s="12"/>
      <c r="D86" s="8"/>
      <c r="E86" s="3"/>
      <c r="F86" s="7">
        <f t="shared" si="44"/>
        <v>0</v>
      </c>
      <c r="G86" s="3"/>
      <c r="H86" s="8">
        <v>633.1</v>
      </c>
      <c r="I86" s="3"/>
      <c r="J86" s="7">
        <f t="shared" si="45"/>
        <v>1.3178996206380873E-2</v>
      </c>
      <c r="K86" s="3"/>
      <c r="L86" s="8">
        <f t="shared" si="46"/>
        <v>-633.1</v>
      </c>
      <c r="M86" s="3"/>
      <c r="N86" s="7">
        <f t="shared" si="47"/>
        <v>-1</v>
      </c>
      <c r="O86" s="12"/>
      <c r="P86" s="8"/>
      <c r="Q86" s="3"/>
      <c r="R86" s="7">
        <f t="shared" si="48"/>
        <v>0</v>
      </c>
      <c r="S86" s="3"/>
      <c r="T86" s="8">
        <v>633.1</v>
      </c>
      <c r="U86" s="3"/>
      <c r="V86" s="7">
        <f t="shared" si="49"/>
        <v>1.3178996206380873E-2</v>
      </c>
      <c r="W86" s="3"/>
      <c r="X86" s="8">
        <f t="shared" si="50"/>
        <v>-633.1</v>
      </c>
      <c r="Y86" s="3"/>
      <c r="Z86" s="7">
        <f t="shared" si="51"/>
        <v>-1</v>
      </c>
    </row>
    <row r="87" spans="1:26" s="29" customFormat="1" outlineLevel="1" collapsed="1" x14ac:dyDescent="0.3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SUM(OSRRefD22_12x_0)</f>
        <v>607.4</v>
      </c>
      <c r="E87" s="1"/>
      <c r="F87" s="5">
        <f t="shared" ref="F87:F89" si="52">IF(D$12=0,0,D87/D$12)</f>
        <v>9.7786647373364361E-3</v>
      </c>
      <c r="G87" s="1"/>
      <c r="H87" s="1">
        <f>SUM(OSRRefH22_12x_0)</f>
        <v>760.5</v>
      </c>
      <c r="I87" s="1"/>
      <c r="J87" s="5">
        <f t="shared" ref="J87:J89" si="53">IF(H$12=0,0,H87/H$12)</f>
        <v>1.5831032403968812E-2</v>
      </c>
      <c r="K87" s="1"/>
      <c r="L87" s="1">
        <f t="shared" ref="L87:L89" si="54">+D87-H87</f>
        <v>-153.10000000000002</v>
      </c>
      <c r="M87" s="1"/>
      <c r="N87" s="5">
        <f t="shared" ref="N87:N89" si="55">IF(H87=0,0,L87/H87)</f>
        <v>-0.20131492439184751</v>
      </c>
      <c r="O87" s="14"/>
      <c r="P87" s="1">
        <f>SUM(OSRRefP22_12x_0)</f>
        <v>607.4</v>
      </c>
      <c r="Q87" s="1"/>
      <c r="R87" s="5">
        <f t="shared" ref="R87:R89" si="56">IF(P$12=0,0,P87/P$12)</f>
        <v>9.7786647373364361E-3</v>
      </c>
      <c r="S87" s="1"/>
      <c r="T87" s="1">
        <f>SUM(OSRRefT22_12x_0)</f>
        <v>760.5</v>
      </c>
      <c r="U87" s="1"/>
      <c r="V87" s="5">
        <f t="shared" ref="V87:V89" si="57">IF(T$12=0,0,T87/T$12)</f>
        <v>1.5831032403968812E-2</v>
      </c>
      <c r="W87" s="1"/>
      <c r="X87" s="1">
        <f t="shared" ref="X87:X89" si="58">+P87-T87</f>
        <v>-153.10000000000002</v>
      </c>
      <c r="Y87" s="1"/>
      <c r="Z87" s="5">
        <f t="shared" ref="Z87:Z89" si="59">IF(T87=0,0,X87/T87)</f>
        <v>-0.20131492439184751</v>
      </c>
    </row>
    <row r="88" spans="1:26" s="24" customFormat="1" hidden="1" outlineLevel="2" x14ac:dyDescent="0.3">
      <c r="A88" s="27"/>
      <c r="B88" s="12" t="str">
        <f>CONCATENATE("          ", "6303", " - ", "DATA PHONE LINES")</f>
        <v xml:space="preserve">          6303 - DATA PHONE LINES</v>
      </c>
      <c r="C88" s="12"/>
      <c r="D88" s="8">
        <v>295</v>
      </c>
      <c r="E88" s="3"/>
      <c r="F88" s="7">
        <f t="shared" si="52"/>
        <v>4.7492691760195075E-3</v>
      </c>
      <c r="G88" s="3"/>
      <c r="H88" s="8">
        <v>295</v>
      </c>
      <c r="I88" s="3"/>
      <c r="J88" s="7">
        <f t="shared" si="53"/>
        <v>6.1409001435513465E-3</v>
      </c>
      <c r="K88" s="3"/>
      <c r="L88" s="8">
        <f t="shared" si="54"/>
        <v>0</v>
      </c>
      <c r="M88" s="3"/>
      <c r="N88" s="7">
        <f t="shared" si="55"/>
        <v>0</v>
      </c>
      <c r="O88" s="12"/>
      <c r="P88" s="8">
        <v>295</v>
      </c>
      <c r="Q88" s="3"/>
      <c r="R88" s="7">
        <f t="shared" si="56"/>
        <v>4.7492691760195075E-3</v>
      </c>
      <c r="S88" s="3"/>
      <c r="T88" s="8">
        <v>295</v>
      </c>
      <c r="U88" s="3"/>
      <c r="V88" s="7">
        <f t="shared" si="57"/>
        <v>6.1409001435513465E-3</v>
      </c>
      <c r="W88" s="3"/>
      <c r="X88" s="8">
        <f t="shared" si="58"/>
        <v>0</v>
      </c>
      <c r="Y88" s="3"/>
      <c r="Z88" s="7">
        <f t="shared" si="59"/>
        <v>0</v>
      </c>
    </row>
    <row r="89" spans="1:26" s="24" customFormat="1" hidden="1" outlineLevel="2" x14ac:dyDescent="0.3">
      <c r="A89" s="27"/>
      <c r="B89" s="12" t="str">
        <f>CONCATENATE("          ", "6309", " - ", "TELEPHONE")</f>
        <v xml:space="preserve">          6309 - TELEPHONE</v>
      </c>
      <c r="C89" s="12"/>
      <c r="D89" s="8">
        <v>312.39999999999998</v>
      </c>
      <c r="E89" s="3"/>
      <c r="F89" s="7">
        <f t="shared" si="52"/>
        <v>5.0293955613169286E-3</v>
      </c>
      <c r="G89" s="3"/>
      <c r="H89" s="8">
        <v>465.5</v>
      </c>
      <c r="I89" s="3"/>
      <c r="J89" s="7">
        <f t="shared" si="53"/>
        <v>9.6901322604174642E-3</v>
      </c>
      <c r="K89" s="3"/>
      <c r="L89" s="8">
        <f t="shared" si="54"/>
        <v>-153.10000000000002</v>
      </c>
      <c r="M89" s="3"/>
      <c r="N89" s="7">
        <f t="shared" si="55"/>
        <v>-0.32889366272824927</v>
      </c>
      <c r="O89" s="12"/>
      <c r="P89" s="8">
        <v>312.39999999999998</v>
      </c>
      <c r="Q89" s="3"/>
      <c r="R89" s="7">
        <f t="shared" si="56"/>
        <v>5.0293955613169286E-3</v>
      </c>
      <c r="S89" s="3"/>
      <c r="T89" s="8">
        <v>465.5</v>
      </c>
      <c r="U89" s="3"/>
      <c r="V89" s="7">
        <f t="shared" si="57"/>
        <v>9.6901322604174642E-3</v>
      </c>
      <c r="W89" s="3"/>
      <c r="X89" s="8">
        <f t="shared" si="58"/>
        <v>-153.10000000000002</v>
      </c>
      <c r="Y89" s="3"/>
      <c r="Z89" s="7">
        <f t="shared" si="59"/>
        <v>-0.32889366272824927</v>
      </c>
    </row>
    <row r="90" spans="1:26" s="29" customFormat="1" outlineLevel="1" collapsed="1" x14ac:dyDescent="0.3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SUM(OSRRefD22_13x_0)</f>
        <v>0</v>
      </c>
      <c r="E90" s="1"/>
      <c r="F90" s="5">
        <f t="shared" ref="F90:F91" si="60">IF(D$12=0,0,D90/D$12)</f>
        <v>0</v>
      </c>
      <c r="G90" s="1"/>
      <c r="H90" s="1">
        <f>SUM(OSRRefH22_13x_0)</f>
        <v>0.16</v>
      </c>
      <c r="I90" s="1"/>
      <c r="J90" s="5">
        <f t="shared" ref="J90:J91" si="61">IF(H$12=0,0,H90/H$12)</f>
        <v>3.3306577049770017E-6</v>
      </c>
      <c r="K90" s="1"/>
      <c r="L90" s="1">
        <f t="shared" ref="L90:L91" si="62">+D90-H90</f>
        <v>-0.16</v>
      </c>
      <c r="M90" s="1"/>
      <c r="N90" s="5">
        <f t="shared" ref="N90:N91" si="63">IF(H90=0,0,L90/H90)</f>
        <v>-1</v>
      </c>
      <c r="O90" s="14"/>
      <c r="P90" s="1">
        <f>SUM(OSRRefP22_13x_0)</f>
        <v>0</v>
      </c>
      <c r="Q90" s="1"/>
      <c r="R90" s="5">
        <f t="shared" ref="R90:R91" si="64">IF(P$12=0,0,P90/P$12)</f>
        <v>0</v>
      </c>
      <c r="S90" s="1"/>
      <c r="T90" s="1">
        <f>SUM(OSRRefT22_13x_0)</f>
        <v>0.16</v>
      </c>
      <c r="U90" s="1"/>
      <c r="V90" s="5">
        <f t="shared" ref="V90:V91" si="65">IF(T$12=0,0,T90/T$12)</f>
        <v>3.3306577049770017E-6</v>
      </c>
      <c r="W90" s="1"/>
      <c r="X90" s="1">
        <f t="shared" ref="X90:X91" si="66">+P90-T90</f>
        <v>-0.16</v>
      </c>
      <c r="Y90" s="1"/>
      <c r="Z90" s="5">
        <f t="shared" ref="Z90:Z91" si="67">IF(T90=0,0,X90/T90)</f>
        <v>-1</v>
      </c>
    </row>
    <row r="91" spans="1:26" s="24" customFormat="1" hidden="1" outlineLevel="2" x14ac:dyDescent="0.3">
      <c r="A91" s="27"/>
      <c r="B91" s="12" t="str">
        <f>CONCATENATE("          ", "6292", " - ", "TRAVEL/CONFERENCE")</f>
        <v xml:space="preserve">          6292 - TRAVEL/CONFERENCE</v>
      </c>
      <c r="C91" s="12"/>
      <c r="D91" s="8"/>
      <c r="E91" s="3"/>
      <c r="F91" s="7">
        <f t="shared" si="60"/>
        <v>0</v>
      </c>
      <c r="G91" s="3"/>
      <c r="H91" s="8">
        <v>0.16</v>
      </c>
      <c r="I91" s="3"/>
      <c r="J91" s="7">
        <f t="shared" si="61"/>
        <v>3.3306577049770017E-6</v>
      </c>
      <c r="K91" s="3"/>
      <c r="L91" s="8">
        <f t="shared" si="62"/>
        <v>-0.16</v>
      </c>
      <c r="M91" s="3"/>
      <c r="N91" s="7">
        <f t="shared" si="63"/>
        <v>-1</v>
      </c>
      <c r="O91" s="12"/>
      <c r="P91" s="8"/>
      <c r="Q91" s="3"/>
      <c r="R91" s="7">
        <f t="shared" si="64"/>
        <v>0</v>
      </c>
      <c r="S91" s="3"/>
      <c r="T91" s="8">
        <v>0.16</v>
      </c>
      <c r="U91" s="3"/>
      <c r="V91" s="7">
        <f t="shared" si="65"/>
        <v>3.3306577049770017E-6</v>
      </c>
      <c r="W91" s="3"/>
      <c r="X91" s="8">
        <f t="shared" si="66"/>
        <v>-0.16</v>
      </c>
      <c r="Y91" s="3"/>
      <c r="Z91" s="7">
        <f t="shared" si="67"/>
        <v>-1</v>
      </c>
    </row>
    <row r="92" spans="1:26" s="53" customFormat="1" x14ac:dyDescent="0.3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3">
      <c r="A93" s="10"/>
      <c r="B93" s="25" t="s">
        <v>292</v>
      </c>
      <c r="C93" s="10"/>
      <c r="D93" s="4">
        <f>SUM(OSRRefD25x_0)</f>
        <v>631.93999999999994</v>
      </c>
      <c r="E93" s="4"/>
      <c r="F93" s="11">
        <f t="shared" ref="F93:F95" si="68">IF(D$12=0,0,D93/D$12)</f>
        <v>1.0173739535911075E-2</v>
      </c>
      <c r="G93" s="4"/>
      <c r="H93" s="4">
        <f>SUM(OSRRefH25x_0)</f>
        <v>2056.9300000000003</v>
      </c>
      <c r="I93" s="4"/>
      <c r="J93" s="11">
        <f t="shared" ref="J93:J95" si="69">IF(H$12=0,0,H93/H$12)</f>
        <v>4.2818310956864655E-2</v>
      </c>
      <c r="K93" s="4"/>
      <c r="L93" s="4">
        <f t="shared" ref="L93:L95" si="70">+D93-H93</f>
        <v>-1424.9900000000002</v>
      </c>
      <c r="M93" s="4"/>
      <c r="N93" s="11">
        <f t="shared" ref="N93:N95" si="71">IF(H93=0,0,L93/H93)</f>
        <v>-0.69277515520703181</v>
      </c>
      <c r="O93" s="10"/>
      <c r="P93" s="4">
        <f>SUM(OSRRefP25x_0)</f>
        <v>631.93999999999994</v>
      </c>
      <c r="Q93" s="4"/>
      <c r="R93" s="11">
        <f t="shared" ref="R93:R95" si="72">IF(P$12=0,0,P93/P$12)</f>
        <v>1.0173739535911075E-2</v>
      </c>
      <c r="S93" s="4"/>
      <c r="T93" s="4">
        <f>SUM(OSRRefT25x_0)</f>
        <v>2056.9300000000003</v>
      </c>
      <c r="U93" s="4"/>
      <c r="V93" s="11">
        <f t="shared" ref="V93:V95" si="73">IF(T$12=0,0,T93/T$12)</f>
        <v>4.2818310956864655E-2</v>
      </c>
      <c r="W93" s="4"/>
      <c r="X93" s="4">
        <f t="shared" ref="X93:X95" si="74">+P93-T93</f>
        <v>-1424.9900000000002</v>
      </c>
      <c r="Y93" s="4"/>
      <c r="Z93" s="11">
        <f t="shared" ref="Z93:Z95" si="75">IF(T93=0,0,X93/T93)</f>
        <v>-0.69277515520703181</v>
      </c>
    </row>
    <row r="94" spans="1:26" s="24" customFormat="1" hidden="1" outlineLevel="1" x14ac:dyDescent="0.3">
      <c r="A94" s="50"/>
      <c r="B94" s="12" t="str">
        <f>CONCATENATE("          ", "9150", " - ", "MISC. INCOME")</f>
        <v xml:space="preserve">          9150 - MISC. INCOME</v>
      </c>
      <c r="C94" s="12"/>
      <c r="D94" s="3">
        <f>--565.02</f>
        <v>565.02</v>
      </c>
      <c r="E94" s="3"/>
      <c r="F94" s="22">
        <f t="shared" si="68"/>
        <v>9.0963798977442088E-3</v>
      </c>
      <c r="G94" s="3"/>
      <c r="H94" s="3">
        <f>--582.54</f>
        <v>582.54</v>
      </c>
      <c r="I94" s="3"/>
      <c r="J94" s="22">
        <f t="shared" si="69"/>
        <v>1.2126508371608139E-2</v>
      </c>
      <c r="K94" s="3"/>
      <c r="L94" s="3">
        <f t="shared" si="70"/>
        <v>-17.519999999999982</v>
      </c>
      <c r="M94" s="3"/>
      <c r="N94" s="22">
        <f t="shared" si="71"/>
        <v>-3.0075187969924783E-2</v>
      </c>
      <c r="O94" s="12"/>
      <c r="P94" s="3">
        <f>--565.02</f>
        <v>565.02</v>
      </c>
      <c r="Q94" s="3"/>
      <c r="R94" s="22">
        <f t="shared" si="72"/>
        <v>9.0963798977442088E-3</v>
      </c>
      <c r="S94" s="3"/>
      <c r="T94" s="3">
        <f>--582.54</f>
        <v>582.54</v>
      </c>
      <c r="U94" s="3"/>
      <c r="V94" s="22">
        <f t="shared" si="73"/>
        <v>1.2126508371608139E-2</v>
      </c>
      <c r="W94" s="3"/>
      <c r="X94" s="3">
        <f t="shared" si="74"/>
        <v>-17.519999999999982</v>
      </c>
      <c r="Y94" s="3"/>
      <c r="Z94" s="22">
        <f t="shared" si="75"/>
        <v>-3.0075187969924783E-2</v>
      </c>
    </row>
    <row r="95" spans="1:26" s="24" customFormat="1" hidden="1" outlineLevel="1" x14ac:dyDescent="0.3">
      <c r="A95" s="50"/>
      <c r="B95" s="12" t="str">
        <f>CONCATENATE("          ", "9152", " - ", "MISC. INCOME")</f>
        <v xml:space="preserve">          9152 - MISC. INCOME</v>
      </c>
      <c r="C95" s="12"/>
      <c r="D95" s="3">
        <f>--66.92</f>
        <v>66.92</v>
      </c>
      <c r="E95" s="3"/>
      <c r="F95" s="22">
        <f t="shared" si="68"/>
        <v>1.0773596381668659E-3</v>
      </c>
      <c r="G95" s="3"/>
      <c r="H95" s="3">
        <f>--1474.39</f>
        <v>1474.39</v>
      </c>
      <c r="I95" s="3"/>
      <c r="J95" s="22">
        <f t="shared" si="69"/>
        <v>3.0691802585256511E-2</v>
      </c>
      <c r="K95" s="3"/>
      <c r="L95" s="3">
        <f t="shared" si="70"/>
        <v>-1407.47</v>
      </c>
      <c r="M95" s="3"/>
      <c r="N95" s="22">
        <f t="shared" si="71"/>
        <v>-0.95461173773560581</v>
      </c>
      <c r="O95" s="12"/>
      <c r="P95" s="3">
        <f>--66.92</f>
        <v>66.92</v>
      </c>
      <c r="Q95" s="3"/>
      <c r="R95" s="22">
        <f t="shared" si="72"/>
        <v>1.0773596381668659E-3</v>
      </c>
      <c r="S95" s="3"/>
      <c r="T95" s="3">
        <f>--1474.39</f>
        <v>1474.39</v>
      </c>
      <c r="U95" s="3"/>
      <c r="V95" s="22">
        <f t="shared" si="73"/>
        <v>3.0691802585256511E-2</v>
      </c>
      <c r="W95" s="3"/>
      <c r="X95" s="3">
        <f t="shared" si="74"/>
        <v>-1407.47</v>
      </c>
      <c r="Y95" s="3"/>
      <c r="Z95" s="22">
        <f t="shared" si="75"/>
        <v>-0.95461173773560581</v>
      </c>
    </row>
    <row r="96" spans="1:26" x14ac:dyDescent="0.3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x14ac:dyDescent="0.3">
      <c r="A97" s="10"/>
      <c r="B97" s="26" t="s">
        <v>276</v>
      </c>
      <c r="C97" s="26"/>
      <c r="D97" s="20">
        <f>+D45-D47+D93</f>
        <v>-31095.730000000007</v>
      </c>
      <c r="E97" s="13"/>
      <c r="F97" s="21">
        <f>IF(D$12=0,0,D97/D$12)</f>
        <v>-0.50061692201635632</v>
      </c>
      <c r="G97" s="13"/>
      <c r="H97" s="20">
        <f>+H45-H47+H93</f>
        <v>-20865.900000000038</v>
      </c>
      <c r="I97" s="13"/>
      <c r="J97" s="21">
        <f>IF(H$12=0,0,H97/H$12)</f>
        <v>-0.4343573162892484</v>
      </c>
      <c r="K97" s="16"/>
      <c r="L97" s="20">
        <f>+D97-H97</f>
        <v>-10229.829999999969</v>
      </c>
      <c r="M97" s="16"/>
      <c r="N97" s="21">
        <f>IF(H97=0,0,L97/H97)</f>
        <v>0.49026545703755653</v>
      </c>
      <c r="O97" s="25"/>
      <c r="P97" s="20">
        <f>+P45-P47+P93</f>
        <v>-31095.730000000007</v>
      </c>
      <c r="Q97" s="13"/>
      <c r="R97" s="21">
        <f>IF(P$12=0,0,P97/P$12)</f>
        <v>-0.50061692201635632</v>
      </c>
      <c r="S97" s="13"/>
      <c r="T97" s="20">
        <f>+T45-T47+T93</f>
        <v>-20865.900000000038</v>
      </c>
      <c r="U97" s="13"/>
      <c r="V97" s="21">
        <f>IF(T$12=0,0,T97/T$12)</f>
        <v>-0.4343573162892484</v>
      </c>
      <c r="W97" s="16"/>
      <c r="X97" s="20">
        <f>+P97-T97</f>
        <v>-10229.829999999969</v>
      </c>
      <c r="Y97" s="16"/>
      <c r="Z97" s="21">
        <f>IF(T97=0,0,X97/T97)</f>
        <v>0.49026545703755653</v>
      </c>
    </row>
    <row r="98" spans="1:26" x14ac:dyDescent="0.3">
      <c r="A98" s="9"/>
      <c r="B98" s="10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x14ac:dyDescent="0.3">
      <c r="A99" s="51"/>
      <c r="B99" s="10" t="s">
        <v>127</v>
      </c>
      <c r="C99" s="10"/>
      <c r="D99" s="4">
        <v>28696.79</v>
      </c>
      <c r="E99" s="4"/>
      <c r="F99" s="11">
        <f>IF(D$12=0,0,D99/D$12)</f>
        <v>0.46199586507696555</v>
      </c>
      <c r="G99" s="4"/>
      <c r="H99" s="4">
        <v>23474.36</v>
      </c>
      <c r="I99" s="4"/>
      <c r="J99" s="11">
        <f>IF(H$12=0,0,H99/H$12)</f>
        <v>0.48865661252127451</v>
      </c>
      <c r="K99" s="4"/>
      <c r="L99" s="4">
        <f>+D99-H99</f>
        <v>5222.43</v>
      </c>
      <c r="M99" s="4"/>
      <c r="N99" s="11">
        <f>IF(H99=0,0,L99/H99)</f>
        <v>0.22247379694270686</v>
      </c>
      <c r="O99" s="10"/>
      <c r="P99" s="4">
        <v>28696.79</v>
      </c>
      <c r="Q99" s="4"/>
      <c r="R99" s="11">
        <f>IF(P$12=0,0,P99/P$12)</f>
        <v>0.46199586507696555</v>
      </c>
      <c r="S99" s="4"/>
      <c r="T99" s="4">
        <v>23474.36</v>
      </c>
      <c r="U99" s="4"/>
      <c r="V99" s="11">
        <f>IF(T$12=0,0,T99/T$12)</f>
        <v>0.48865661252127451</v>
      </c>
      <c r="W99" s="4"/>
      <c r="X99" s="4">
        <f>+P99-T99</f>
        <v>5222.43</v>
      </c>
      <c r="Y99" s="4"/>
      <c r="Z99" s="11">
        <f>IF(T99=0,0,X99/T99)</f>
        <v>0.22247379694270686</v>
      </c>
    </row>
    <row r="100" spans="1:26" x14ac:dyDescent="0.3">
      <c r="A100" s="9"/>
      <c r="B100" s="10"/>
      <c r="C100" s="10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10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3" customFormat="1" ht="15" thickBot="1" x14ac:dyDescent="0.35">
      <c r="A101" s="10"/>
      <c r="B101" s="26" t="s">
        <v>125</v>
      </c>
      <c r="C101" s="26"/>
      <c r="D101" s="36">
        <f>+D97-D99</f>
        <v>-59792.520000000004</v>
      </c>
      <c r="E101" s="13"/>
      <c r="F101" s="34">
        <f>IF(D$12=0,0,D101/D$12)</f>
        <v>-0.96261278709332176</v>
      </c>
      <c r="G101" s="13"/>
      <c r="H101" s="36">
        <f>+H97-H99</f>
        <v>-44340.260000000038</v>
      </c>
      <c r="I101" s="13"/>
      <c r="J101" s="34">
        <f>IF(H$12=0,0,H101/H$12)</f>
        <v>-0.92301392881052291</v>
      </c>
      <c r="K101" s="16"/>
      <c r="L101" s="36">
        <f>D101-H101</f>
        <v>-15452.259999999966</v>
      </c>
      <c r="M101" s="16"/>
      <c r="N101" s="34">
        <f>IF(H101=0,0,L101/H101)</f>
        <v>0.34849276932521261</v>
      </c>
      <c r="O101" s="25"/>
      <c r="P101" s="36">
        <f>+P97-P99</f>
        <v>-59792.520000000004</v>
      </c>
      <c r="Q101" s="13"/>
      <c r="R101" s="34">
        <f>IF(P$12=0,0,P101/P$12)</f>
        <v>-0.96261278709332176</v>
      </c>
      <c r="S101" s="13"/>
      <c r="T101" s="36">
        <f>+T97-T99</f>
        <v>-44340.260000000038</v>
      </c>
      <c r="U101" s="13"/>
      <c r="V101" s="34">
        <f>IF(T$12=0,0,T101/T$12)</f>
        <v>-0.92301392881052291</v>
      </c>
      <c r="W101" s="16"/>
      <c r="X101" s="36">
        <f>P101-T101</f>
        <v>-15452.259999999966</v>
      </c>
      <c r="Y101" s="16"/>
      <c r="Z101" s="34">
        <f>IF(T101=0,0,X101/T101)</f>
        <v>0.34849276932521261</v>
      </c>
    </row>
    <row r="102" spans="1:26" ht="15" thickTop="1" x14ac:dyDescent="0.3">
      <c r="A102" s="9"/>
      <c r="B102" s="9"/>
      <c r="C102" s="9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x14ac:dyDescent="0.3">
      <c r="A103" s="9"/>
      <c r="B103" s="9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ht="15" thickBot="1" x14ac:dyDescent="0.35">
      <c r="A104" s="10"/>
      <c r="B104" s="26" t="s">
        <v>293</v>
      </c>
      <c r="C104" s="26"/>
      <c r="D104" s="31">
        <f>SUM(D101:D103)</f>
        <v>-59792.520000000004</v>
      </c>
      <c r="E104" s="13"/>
      <c r="F104" s="33">
        <f>IF(D$12=0,0,D104/D$12)</f>
        <v>-0.96261278709332176</v>
      </c>
      <c r="G104" s="13"/>
      <c r="H104" s="31">
        <f>SUM(H101:H103)</f>
        <v>-44340.260000000038</v>
      </c>
      <c r="I104" s="13"/>
      <c r="J104" s="33">
        <f>IF(H$12=0,0,H104/H$12)</f>
        <v>-0.92301392881052291</v>
      </c>
      <c r="K104" s="16"/>
      <c r="L104" s="31">
        <f>+D104-H104</f>
        <v>-15452.259999999966</v>
      </c>
      <c r="M104" s="16"/>
      <c r="N104" s="33">
        <f>IF(H104=0,0,L104/H104)</f>
        <v>0.34849276932521261</v>
      </c>
      <c r="O104" s="25"/>
      <c r="P104" s="31">
        <f>SUM(P101:P103)</f>
        <v>-59792.520000000004</v>
      </c>
      <c r="Q104" s="13"/>
      <c r="R104" s="33">
        <f>IF(P$12=0,0,P104/P$12)</f>
        <v>-0.96261278709332176</v>
      </c>
      <c r="S104" s="13"/>
      <c r="T104" s="31">
        <f>SUM(T101:T103)</f>
        <v>-44340.260000000038</v>
      </c>
      <c r="U104" s="13"/>
      <c r="V104" s="33">
        <f>IF(T$12=0,0,T104/T$12)</f>
        <v>-0.92301392881052291</v>
      </c>
      <c r="W104" s="16"/>
      <c r="X104" s="31">
        <f>+P104-T104</f>
        <v>-15452.259999999966</v>
      </c>
      <c r="Y104" s="16"/>
      <c r="Z104" s="33">
        <f>IF(T104=0,0,X104/T104)</f>
        <v>0.34849276932521261</v>
      </c>
    </row>
    <row r="105" spans="1:26" ht="15" thickTop="1" x14ac:dyDescent="0.3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">
      <c r="A106" s="9"/>
      <c r="B106" s="59">
        <v>44462.666881481484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">
      <c r="A107" s="9"/>
      <c r="B107" s="57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61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56201.599999999999</v>
      </c>
      <c r="E12" s="4"/>
      <c r="F12" s="11"/>
      <c r="G12" s="4"/>
      <c r="H12" s="4">
        <f>SUM(OSRRefH13x_0)</f>
        <v>40738.920000000006</v>
      </c>
      <c r="I12" s="4"/>
      <c r="J12" s="11"/>
      <c r="K12" s="4"/>
      <c r="L12" s="4">
        <f t="shared" ref="L12:L28" si="0">+D12-H12</f>
        <v>15462.679999999993</v>
      </c>
      <c r="M12" s="4"/>
      <c r="N12" s="11">
        <f t="shared" ref="N12:N28" si="1">IF(H12=0,0,L12/H12)</f>
        <v>0.37955547176999271</v>
      </c>
      <c r="O12" s="10"/>
      <c r="P12" s="4">
        <f>SUM(OSRRefP13x_0)</f>
        <v>56201.599999999999</v>
      </c>
      <c r="Q12" s="4"/>
      <c r="R12" s="11"/>
      <c r="S12" s="4"/>
      <c r="T12" s="4">
        <f>SUM(OSRRefT13x_0)</f>
        <v>40738.920000000006</v>
      </c>
      <c r="U12" s="4"/>
      <c r="V12" s="11"/>
      <c r="W12" s="4"/>
      <c r="X12" s="4">
        <f t="shared" ref="X12:X28" si="2">+P12-T12</f>
        <v>15462.679999999993</v>
      </c>
      <c r="Y12" s="4"/>
      <c r="Z12" s="11">
        <f t="shared" ref="Z12:Z28" si="3">IF(T12=0,0,X12/T12)</f>
        <v>0.37955547176999271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--30924.86</f>
        <v>30924.86</v>
      </c>
      <c r="E13" s="3"/>
      <c r="F13" s="22"/>
      <c r="G13" s="3"/>
      <c r="H13" s="3">
        <f>-770.07</f>
        <v>-770.07</v>
      </c>
      <c r="I13" s="3"/>
      <c r="J13" s="22"/>
      <c r="K13" s="3"/>
      <c r="L13" s="3">
        <f t="shared" si="0"/>
        <v>31694.93</v>
      </c>
      <c r="M13" s="3"/>
      <c r="N13" s="22">
        <f t="shared" si="1"/>
        <v>-41.158505070967571</v>
      </c>
      <c r="O13" s="12"/>
      <c r="P13" s="3">
        <f>--30924.86</f>
        <v>30924.86</v>
      </c>
      <c r="Q13" s="3"/>
      <c r="R13" s="22"/>
      <c r="S13" s="3"/>
      <c r="T13" s="3">
        <f>-770.07</f>
        <v>-770.07</v>
      </c>
      <c r="U13" s="3"/>
      <c r="V13" s="22"/>
      <c r="W13" s="3"/>
      <c r="X13" s="3">
        <f t="shared" si="2"/>
        <v>31694.93</v>
      </c>
      <c r="Y13" s="3"/>
      <c r="Z13" s="22">
        <f t="shared" si="3"/>
        <v>-41.158505070967571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17" si="4">0</f>
        <v>0</v>
      </c>
      <c r="E14" s="3"/>
      <c r="F14" s="22"/>
      <c r="G14" s="3"/>
      <c r="H14" s="3">
        <f>--10034.9</f>
        <v>10034.9</v>
      </c>
      <c r="I14" s="3"/>
      <c r="J14" s="22"/>
      <c r="K14" s="3"/>
      <c r="L14" s="3">
        <f t="shared" si="0"/>
        <v>-10034.9</v>
      </c>
      <c r="M14" s="3"/>
      <c r="N14" s="22">
        <f t="shared" si="1"/>
        <v>-1</v>
      </c>
      <c r="O14" s="12"/>
      <c r="P14" s="3">
        <f t="shared" ref="P14:P17" si="5">0</f>
        <v>0</v>
      </c>
      <c r="Q14" s="3"/>
      <c r="R14" s="22"/>
      <c r="S14" s="3"/>
      <c r="T14" s="3">
        <f>--10034.9</f>
        <v>10034.9</v>
      </c>
      <c r="U14" s="3"/>
      <c r="V14" s="22"/>
      <c r="W14" s="3"/>
      <c r="X14" s="3">
        <f t="shared" si="2"/>
        <v>-10034.9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--10680.95</f>
        <v>10680.95</v>
      </c>
      <c r="I15" s="3"/>
      <c r="J15" s="22"/>
      <c r="K15" s="3"/>
      <c r="L15" s="3">
        <f t="shared" si="0"/>
        <v>-10680.95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--10680.95</f>
        <v>10680.95</v>
      </c>
      <c r="U15" s="3"/>
      <c r="V15" s="22"/>
      <c r="W15" s="3"/>
      <c r="X15" s="3">
        <f t="shared" si="2"/>
        <v>-10680.95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"4014", " - ", "TAXABLE SALES-REMAINDERS")</f>
        <v xml:space="preserve">          4014 - TAXABLE SALES-REMAINDERS</v>
      </c>
      <c r="C16" s="12"/>
      <c r="D16" s="3">
        <f t="shared" si="4"/>
        <v>0</v>
      </c>
      <c r="E16" s="3"/>
      <c r="F16" s="22"/>
      <c r="G16" s="3"/>
      <c r="H16" s="3">
        <f>--31.84</f>
        <v>31.84</v>
      </c>
      <c r="I16" s="3"/>
      <c r="J16" s="22"/>
      <c r="K16" s="3"/>
      <c r="L16" s="3">
        <f t="shared" si="0"/>
        <v>-31.84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--31.84</f>
        <v>31.84</v>
      </c>
      <c r="U16" s="3"/>
      <c r="V16" s="22"/>
      <c r="W16" s="3"/>
      <c r="X16" s="3">
        <f t="shared" si="2"/>
        <v>-31.84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"4018", " - ", "TAXABLE SALES-STUDY GUIDES")</f>
        <v xml:space="preserve">          4018 - TAXABLE SALES-STUDY GUIDES</v>
      </c>
      <c r="C17" s="12"/>
      <c r="D17" s="3">
        <f t="shared" si="4"/>
        <v>0</v>
      </c>
      <c r="E17" s="3"/>
      <c r="F17" s="22"/>
      <c r="G17" s="3"/>
      <c r="H17" s="3">
        <f>--16.99</f>
        <v>16.989999999999998</v>
      </c>
      <c r="I17" s="3"/>
      <c r="J17" s="22"/>
      <c r="K17" s="3"/>
      <c r="L17" s="3">
        <f t="shared" si="0"/>
        <v>-16.989999999999998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--16.99</f>
        <v>16.989999999999998</v>
      </c>
      <c r="U17" s="3"/>
      <c r="V17" s="22"/>
      <c r="W17" s="3"/>
      <c r="X17" s="3">
        <f t="shared" si="2"/>
        <v>-16.989999999999998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"4100", " - ", "NON-TAXABLE SALES")</f>
        <v xml:space="preserve">          4100 - NON-TAXABLE SALES</v>
      </c>
      <c r="C18" s="12"/>
      <c r="D18" s="3">
        <f>--27180.13</f>
        <v>27180.13</v>
      </c>
      <c r="E18" s="3"/>
      <c r="F18" s="22"/>
      <c r="G18" s="3"/>
      <c r="H18" s="3">
        <f>0</f>
        <v>0</v>
      </c>
      <c r="I18" s="3"/>
      <c r="J18" s="22"/>
      <c r="K18" s="3"/>
      <c r="L18" s="3">
        <f t="shared" si="0"/>
        <v>27180.13</v>
      </c>
      <c r="M18" s="3"/>
      <c r="N18" s="22">
        <f t="shared" si="1"/>
        <v>0</v>
      </c>
      <c r="O18" s="12"/>
      <c r="P18" s="3">
        <f>--27180.13</f>
        <v>27180.13</v>
      </c>
      <c r="Q18" s="3"/>
      <c r="R18" s="22"/>
      <c r="S18" s="3"/>
      <c r="T18" s="3">
        <f>0</f>
        <v>0</v>
      </c>
      <c r="U18" s="3"/>
      <c r="V18" s="22"/>
      <c r="W18" s="3"/>
      <c r="X18" s="3">
        <f t="shared" si="2"/>
        <v>27180.13</v>
      </c>
      <c r="Y18" s="3"/>
      <c r="Z18" s="22">
        <f t="shared" si="3"/>
        <v>0</v>
      </c>
    </row>
    <row r="19" spans="1:26" s="24" customFormat="1" hidden="1" outlineLevel="1" x14ac:dyDescent="0.3">
      <c r="A19" s="50"/>
      <c r="B19" s="12" t="str">
        <f>CONCATENATE("          ", "4101", " - ", "NON-TAXABLE SALES-NEW TEXT")</f>
        <v xml:space="preserve">          4101 - NON-TAXABLE SALES-NEW TEXT</v>
      </c>
      <c r="C19" s="12"/>
      <c r="D19" s="3">
        <f t="shared" ref="D19:D22" si="6">0</f>
        <v>0</v>
      </c>
      <c r="E19" s="3"/>
      <c r="F19" s="22"/>
      <c r="G19" s="3"/>
      <c r="H19" s="3">
        <f>--10341.86</f>
        <v>10341.86</v>
      </c>
      <c r="I19" s="3"/>
      <c r="J19" s="22"/>
      <c r="K19" s="3"/>
      <c r="L19" s="3">
        <f t="shared" si="0"/>
        <v>-10341.86</v>
      </c>
      <c r="M19" s="3"/>
      <c r="N19" s="22">
        <f t="shared" si="1"/>
        <v>-1</v>
      </c>
      <c r="O19" s="12"/>
      <c r="P19" s="3">
        <f t="shared" ref="P19:P22" si="7">0</f>
        <v>0</v>
      </c>
      <c r="Q19" s="3"/>
      <c r="R19" s="22"/>
      <c r="S19" s="3"/>
      <c r="T19" s="3">
        <f>--10341.86</f>
        <v>10341.86</v>
      </c>
      <c r="U19" s="3"/>
      <c r="V19" s="22"/>
      <c r="W19" s="3"/>
      <c r="X19" s="3">
        <f t="shared" si="2"/>
        <v>-10341.86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"4102", " - ", "NON-TAXABLE SALES-USED TEXT")</f>
        <v xml:space="preserve">          4102 - NON-TAXABLE SALES-USED TEXT</v>
      </c>
      <c r="C20" s="12"/>
      <c r="D20" s="3">
        <f t="shared" si="6"/>
        <v>0</v>
      </c>
      <c r="E20" s="3"/>
      <c r="F20" s="22"/>
      <c r="G20" s="3"/>
      <c r="H20" s="3">
        <f>--4190.44</f>
        <v>4190.4399999999996</v>
      </c>
      <c r="I20" s="3"/>
      <c r="J20" s="22"/>
      <c r="K20" s="3"/>
      <c r="L20" s="3">
        <f t="shared" si="0"/>
        <v>-4190.4399999999996</v>
      </c>
      <c r="M20" s="3"/>
      <c r="N20" s="22">
        <f t="shared" si="1"/>
        <v>-1</v>
      </c>
      <c r="O20" s="12"/>
      <c r="P20" s="3">
        <f t="shared" si="7"/>
        <v>0</v>
      </c>
      <c r="Q20" s="3"/>
      <c r="R20" s="22"/>
      <c r="S20" s="3"/>
      <c r="T20" s="3">
        <f>--4190.44</f>
        <v>4190.4399999999996</v>
      </c>
      <c r="U20" s="3"/>
      <c r="V20" s="22"/>
      <c r="W20" s="3"/>
      <c r="X20" s="3">
        <f t="shared" si="2"/>
        <v>-4190.4399999999996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"4104", " - ", "NON-TAXABLE SALES-DIGITAL TEXT")</f>
        <v xml:space="preserve">          4104 - NON-TAXABLE SALES-DIGITAL TEXT</v>
      </c>
      <c r="C21" s="12"/>
      <c r="D21" s="3">
        <f t="shared" si="6"/>
        <v>0</v>
      </c>
      <c r="E21" s="3"/>
      <c r="F21" s="22"/>
      <c r="G21" s="3"/>
      <c r="H21" s="3">
        <f>--7485.52</f>
        <v>7485.52</v>
      </c>
      <c r="I21" s="3"/>
      <c r="J21" s="22"/>
      <c r="K21" s="3"/>
      <c r="L21" s="3">
        <f t="shared" si="0"/>
        <v>-7485.52</v>
      </c>
      <c r="M21" s="3"/>
      <c r="N21" s="22">
        <f t="shared" si="1"/>
        <v>-1</v>
      </c>
      <c r="O21" s="12"/>
      <c r="P21" s="3">
        <f t="shared" si="7"/>
        <v>0</v>
      </c>
      <c r="Q21" s="3"/>
      <c r="R21" s="22"/>
      <c r="S21" s="3"/>
      <c r="T21" s="3">
        <f>--7485.52</f>
        <v>7485.52</v>
      </c>
      <c r="U21" s="3"/>
      <c r="V21" s="22"/>
      <c r="W21" s="3"/>
      <c r="X21" s="3">
        <f t="shared" si="2"/>
        <v>-7485.52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"4118", " - ", "NON-TAXABLE SALES-STUDY GUIDES")</f>
        <v xml:space="preserve">          4118 - NON-TAXABLE SALES-STUDY GUIDES</v>
      </c>
      <c r="C22" s="12"/>
      <c r="D22" s="3">
        <f t="shared" si="6"/>
        <v>0</v>
      </c>
      <c r="E22" s="3"/>
      <c r="F22" s="22"/>
      <c r="G22" s="3"/>
      <c r="H22" s="3">
        <f>--53.96</f>
        <v>53.96</v>
      </c>
      <c r="I22" s="3"/>
      <c r="J22" s="22"/>
      <c r="K22" s="3"/>
      <c r="L22" s="3">
        <f t="shared" si="0"/>
        <v>-53.96</v>
      </c>
      <c r="M22" s="3"/>
      <c r="N22" s="22">
        <f t="shared" si="1"/>
        <v>-1</v>
      </c>
      <c r="O22" s="12"/>
      <c r="P22" s="3">
        <f t="shared" si="7"/>
        <v>0</v>
      </c>
      <c r="Q22" s="3"/>
      <c r="R22" s="22"/>
      <c r="S22" s="3"/>
      <c r="T22" s="3">
        <f>--53.96</f>
        <v>53.96</v>
      </c>
      <c r="U22" s="3"/>
      <c r="V22" s="22"/>
      <c r="W22" s="3"/>
      <c r="X22" s="3">
        <f t="shared" si="2"/>
        <v>-53.96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"4200", " - ", "TAXABLE RETURNS")</f>
        <v xml:space="preserve">          4200 - TAXABLE RETURNS</v>
      </c>
      <c r="C23" s="12"/>
      <c r="D23" s="3">
        <f>-920.66</f>
        <v>-920.66</v>
      </c>
      <c r="E23" s="3"/>
      <c r="F23" s="22"/>
      <c r="G23" s="3"/>
      <c r="H23" s="3">
        <f>0</f>
        <v>0</v>
      </c>
      <c r="I23" s="3"/>
      <c r="J23" s="22"/>
      <c r="K23" s="3"/>
      <c r="L23" s="3">
        <f t="shared" si="0"/>
        <v>-920.66</v>
      </c>
      <c r="M23" s="3"/>
      <c r="N23" s="22">
        <f t="shared" si="1"/>
        <v>0</v>
      </c>
      <c r="O23" s="12"/>
      <c r="P23" s="3">
        <f>-920.66</f>
        <v>-920.66</v>
      </c>
      <c r="Q23" s="3"/>
      <c r="R23" s="22"/>
      <c r="S23" s="3"/>
      <c r="T23" s="3">
        <f>0</f>
        <v>0</v>
      </c>
      <c r="U23" s="3"/>
      <c r="V23" s="22"/>
      <c r="W23" s="3"/>
      <c r="X23" s="3">
        <f t="shared" si="2"/>
        <v>-920.66</v>
      </c>
      <c r="Y23" s="3"/>
      <c r="Z23" s="22">
        <f t="shared" si="3"/>
        <v>0</v>
      </c>
    </row>
    <row r="24" spans="1:26" s="24" customFormat="1" hidden="1" outlineLevel="1" x14ac:dyDescent="0.3">
      <c r="A24" s="50"/>
      <c r="B24" s="12" t="str">
        <f>CONCATENATE("          ", "4201", " - ", "SALES RETURN TAXABLE-NEW TEXT")</f>
        <v xml:space="preserve">          4201 - SALES RETURN TAXABLE-NEW TEXT</v>
      </c>
      <c r="C24" s="12"/>
      <c r="D24" s="3">
        <f t="shared" ref="D24:D25" si="8">0</f>
        <v>0</v>
      </c>
      <c r="E24" s="3"/>
      <c r="F24" s="22"/>
      <c r="G24" s="3"/>
      <c r="H24" s="3">
        <f>-633.4</f>
        <v>-633.4</v>
      </c>
      <c r="I24" s="3"/>
      <c r="J24" s="22"/>
      <c r="K24" s="3"/>
      <c r="L24" s="3">
        <f t="shared" si="0"/>
        <v>633.4</v>
      </c>
      <c r="M24" s="3"/>
      <c r="N24" s="22">
        <f t="shared" si="1"/>
        <v>-1</v>
      </c>
      <c r="O24" s="12"/>
      <c r="P24" s="3">
        <f t="shared" ref="P24:P25" si="9">0</f>
        <v>0</v>
      </c>
      <c r="Q24" s="3"/>
      <c r="R24" s="22"/>
      <c r="S24" s="3"/>
      <c r="T24" s="3">
        <f>-633.4</f>
        <v>-633.4</v>
      </c>
      <c r="U24" s="3"/>
      <c r="V24" s="22"/>
      <c r="W24" s="3"/>
      <c r="X24" s="3">
        <f t="shared" si="2"/>
        <v>633.4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"4202", " - ", "SALES RETURN TAXABLE-USED TEXT")</f>
        <v xml:space="preserve">          4202 - SALES RETURN TAXABLE-USED TEXT</v>
      </c>
      <c r="C25" s="12"/>
      <c r="D25" s="3">
        <f t="shared" si="8"/>
        <v>0</v>
      </c>
      <c r="E25" s="3"/>
      <c r="F25" s="22"/>
      <c r="G25" s="3"/>
      <c r="H25" s="3">
        <f>-178.35</f>
        <v>-178.35</v>
      </c>
      <c r="I25" s="3"/>
      <c r="J25" s="22"/>
      <c r="K25" s="3"/>
      <c r="L25" s="3">
        <f t="shared" si="0"/>
        <v>178.35</v>
      </c>
      <c r="M25" s="3"/>
      <c r="N25" s="22">
        <f t="shared" si="1"/>
        <v>-1</v>
      </c>
      <c r="O25" s="12"/>
      <c r="P25" s="3">
        <f t="shared" si="9"/>
        <v>0</v>
      </c>
      <c r="Q25" s="3"/>
      <c r="R25" s="22"/>
      <c r="S25" s="3"/>
      <c r="T25" s="3">
        <f>-178.35</f>
        <v>-178.35</v>
      </c>
      <c r="U25" s="3"/>
      <c r="V25" s="22"/>
      <c r="W25" s="3"/>
      <c r="X25" s="3">
        <f t="shared" si="2"/>
        <v>178.35</v>
      </c>
      <c r="Y25" s="3"/>
      <c r="Z25" s="22">
        <f t="shared" si="3"/>
        <v>-1</v>
      </c>
    </row>
    <row r="26" spans="1:26" s="24" customFormat="1" hidden="1" outlineLevel="1" x14ac:dyDescent="0.3">
      <c r="A26" s="50"/>
      <c r="B26" s="12" t="str">
        <f>CONCATENATE("          ", "4300", " - ", "NON-TAX RETURNS")</f>
        <v xml:space="preserve">          4300 - NON-TAX RETURNS</v>
      </c>
      <c r="C26" s="12"/>
      <c r="D26" s="3">
        <f>-982.73</f>
        <v>-982.73</v>
      </c>
      <c r="E26" s="3"/>
      <c r="F26" s="22"/>
      <c r="G26" s="3"/>
      <c r="H26" s="3">
        <f>0</f>
        <v>0</v>
      </c>
      <c r="I26" s="3"/>
      <c r="J26" s="22"/>
      <c r="K26" s="3"/>
      <c r="L26" s="3">
        <f t="shared" si="0"/>
        <v>-982.73</v>
      </c>
      <c r="M26" s="3"/>
      <c r="N26" s="22">
        <f t="shared" si="1"/>
        <v>0</v>
      </c>
      <c r="O26" s="12"/>
      <c r="P26" s="3">
        <f>-982.73</f>
        <v>-982.73</v>
      </c>
      <c r="Q26" s="3"/>
      <c r="R26" s="22"/>
      <c r="S26" s="3"/>
      <c r="T26" s="3">
        <f>0</f>
        <v>0</v>
      </c>
      <c r="U26" s="3"/>
      <c r="V26" s="22"/>
      <c r="W26" s="3"/>
      <c r="X26" s="3">
        <f t="shared" si="2"/>
        <v>-982.73</v>
      </c>
      <c r="Y26" s="3"/>
      <c r="Z26" s="22">
        <f t="shared" si="3"/>
        <v>0</v>
      </c>
    </row>
    <row r="27" spans="1:26" s="24" customFormat="1" hidden="1" outlineLevel="1" x14ac:dyDescent="0.3">
      <c r="A27" s="50"/>
      <c r="B27" s="12" t="str">
        <f>CONCATENATE("          ", "4302", " - ", "SALES RETURN NON TAXABLE-TEXT")</f>
        <v xml:space="preserve">          4302 - SALES RETURN NON TAXABLE-TEXT</v>
      </c>
      <c r="C27" s="12"/>
      <c r="D27" s="3">
        <f t="shared" ref="D27:D28" si="10">0</f>
        <v>0</v>
      </c>
      <c r="E27" s="3"/>
      <c r="F27" s="22"/>
      <c r="G27" s="3"/>
      <c r="H27" s="3">
        <f>-63.67</f>
        <v>-63.67</v>
      </c>
      <c r="I27" s="3"/>
      <c r="J27" s="22"/>
      <c r="K27" s="3"/>
      <c r="L27" s="3">
        <f t="shared" si="0"/>
        <v>63.67</v>
      </c>
      <c r="M27" s="3"/>
      <c r="N27" s="22">
        <f t="shared" si="1"/>
        <v>-1</v>
      </c>
      <c r="O27" s="12"/>
      <c r="P27" s="3">
        <f t="shared" ref="P27:P28" si="11">0</f>
        <v>0</v>
      </c>
      <c r="Q27" s="3"/>
      <c r="R27" s="22"/>
      <c r="S27" s="3"/>
      <c r="T27" s="3">
        <f>-63.67</f>
        <v>-63.67</v>
      </c>
      <c r="U27" s="3"/>
      <c r="V27" s="22"/>
      <c r="W27" s="3"/>
      <c r="X27" s="3">
        <f t="shared" si="2"/>
        <v>63.67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"4304", " - ", "SALES RETURN NON TAXABLE-DIGIT")</f>
        <v xml:space="preserve">          4304 - SALES RETURN NON TAXABLE-DIGIT</v>
      </c>
      <c r="C28" s="12"/>
      <c r="D28" s="3">
        <f t="shared" si="10"/>
        <v>0</v>
      </c>
      <c r="E28" s="3"/>
      <c r="F28" s="22"/>
      <c r="G28" s="3"/>
      <c r="H28" s="3">
        <f>-452.05</f>
        <v>-452.05</v>
      </c>
      <c r="I28" s="3"/>
      <c r="J28" s="22"/>
      <c r="K28" s="3"/>
      <c r="L28" s="3">
        <f t="shared" si="0"/>
        <v>452.05</v>
      </c>
      <c r="M28" s="3"/>
      <c r="N28" s="22">
        <f t="shared" si="1"/>
        <v>-1</v>
      </c>
      <c r="O28" s="12"/>
      <c r="P28" s="3">
        <f t="shared" si="11"/>
        <v>0</v>
      </c>
      <c r="Q28" s="3"/>
      <c r="R28" s="22"/>
      <c r="S28" s="3"/>
      <c r="T28" s="3">
        <f>-452.05</f>
        <v>-452.05</v>
      </c>
      <c r="U28" s="3"/>
      <c r="V28" s="22"/>
      <c r="W28" s="3"/>
      <c r="X28" s="3">
        <f t="shared" si="2"/>
        <v>452.05</v>
      </c>
      <c r="Y28" s="3"/>
      <c r="Z28" s="22">
        <f t="shared" si="3"/>
        <v>-1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collapsed="1" x14ac:dyDescent="0.3">
      <c r="A30" s="10"/>
      <c r="B30" s="25" t="s">
        <v>256</v>
      </c>
      <c r="C30" s="10"/>
      <c r="D30" s="4">
        <f>SUM(OSRRefD16x_0)</f>
        <v>42691.720000000038</v>
      </c>
      <c r="E30" s="4"/>
      <c r="F30" s="11">
        <f t="shared" ref="F30:F43" si="12">IF(D$12=0,0,D30/D$12)</f>
        <v>0.7596175197859143</v>
      </c>
      <c r="G30" s="4"/>
      <c r="H30" s="4">
        <f>SUM(OSRRefH16x_0)</f>
        <v>26088.000000000015</v>
      </c>
      <c r="I30" s="4"/>
      <c r="J30" s="11">
        <f t="shared" ref="J30:J43" si="13">IF(H$12=0,0,H30/H$12)</f>
        <v>0.64037043691879925</v>
      </c>
      <c r="K30" s="4"/>
      <c r="L30" s="4">
        <f t="shared" ref="L30:L43" si="14">+D30-H30</f>
        <v>16603.720000000023</v>
      </c>
      <c r="M30" s="4"/>
      <c r="N30" s="11">
        <f t="shared" ref="N30:N43" si="15">IF(H30=0,0,L30/H30)</f>
        <v>0.63645047531432131</v>
      </c>
      <c r="O30" s="10"/>
      <c r="P30" s="4">
        <f>SUM(OSRRefP16x_0)</f>
        <v>42691.720000000038</v>
      </c>
      <c r="Q30" s="4"/>
      <c r="R30" s="11">
        <f t="shared" ref="R30:R43" si="16">IF(P$12=0,0,P30/P$12)</f>
        <v>0.7596175197859143</v>
      </c>
      <c r="S30" s="4"/>
      <c r="T30" s="4">
        <f>SUM(OSRRefT16x_0)</f>
        <v>26088.000000000015</v>
      </c>
      <c r="U30" s="4"/>
      <c r="V30" s="11">
        <f t="shared" ref="V30:V43" si="17">IF(T$12=0,0,T30/T$12)</f>
        <v>0.64037043691879925</v>
      </c>
      <c r="W30" s="4"/>
      <c r="X30" s="4">
        <f t="shared" ref="X30:X43" si="18">+P30-T30</f>
        <v>16603.720000000023</v>
      </c>
      <c r="Y30" s="4"/>
      <c r="Z30" s="11">
        <f t="shared" ref="Z30:Z43" si="19">IF(T30=0,0,X30/T30)</f>
        <v>0.63645047531432131</v>
      </c>
    </row>
    <row r="31" spans="1:26" s="24" customFormat="1" hidden="1" outlineLevel="1" x14ac:dyDescent="0.3">
      <c r="A31" s="50"/>
      <c r="B31" s="12" t="str">
        <f>CONCATENATE("          ", "5000", " - ", "PURCHASES @ COST")</f>
        <v xml:space="preserve">          5000 - PURCHASES @ COST</v>
      </c>
      <c r="C31" s="12"/>
      <c r="D31" s="3">
        <v>262208.01</v>
      </c>
      <c r="E31" s="3"/>
      <c r="F31" s="22">
        <f t="shared" si="12"/>
        <v>4.6654901283949215</v>
      </c>
      <c r="G31" s="3"/>
      <c r="H31" s="3"/>
      <c r="I31" s="3"/>
      <c r="J31" s="22">
        <f t="shared" si="13"/>
        <v>0</v>
      </c>
      <c r="K31" s="3"/>
      <c r="L31" s="3">
        <f t="shared" si="14"/>
        <v>262208.01</v>
      </c>
      <c r="M31" s="3"/>
      <c r="N31" s="22">
        <f t="shared" si="15"/>
        <v>0</v>
      </c>
      <c r="O31" s="12"/>
      <c r="P31" s="3">
        <v>262208.01</v>
      </c>
      <c r="Q31" s="3"/>
      <c r="R31" s="22">
        <f t="shared" si="16"/>
        <v>4.6654901283949215</v>
      </c>
      <c r="S31" s="3"/>
      <c r="T31" s="3"/>
      <c r="U31" s="3"/>
      <c r="V31" s="22">
        <f t="shared" si="17"/>
        <v>0</v>
      </c>
      <c r="W31" s="3"/>
      <c r="X31" s="3">
        <f t="shared" si="18"/>
        <v>262208.01</v>
      </c>
      <c r="Y31" s="3"/>
      <c r="Z31" s="22">
        <f t="shared" si="19"/>
        <v>0</v>
      </c>
    </row>
    <row r="32" spans="1:26" s="24" customFormat="1" hidden="1" outlineLevel="1" x14ac:dyDescent="0.3">
      <c r="A32" s="50"/>
      <c r="B32" s="12" t="str">
        <f>CONCATENATE("          ", "5001", " - ", "PURCHASES @ COST-NEW TEXT")</f>
        <v xml:space="preserve">          5001 - PURCHASES @ COST-NEW TEXT</v>
      </c>
      <c r="C32" s="12"/>
      <c r="D32" s="3">
        <v>0</v>
      </c>
      <c r="E32" s="3"/>
      <c r="F32" s="22">
        <f t="shared" si="12"/>
        <v>0</v>
      </c>
      <c r="G32" s="3"/>
      <c r="H32" s="3">
        <v>151457.41</v>
      </c>
      <c r="I32" s="3"/>
      <c r="J32" s="22">
        <f t="shared" si="13"/>
        <v>3.7177571226728636</v>
      </c>
      <c r="K32" s="3"/>
      <c r="L32" s="3">
        <f t="shared" si="14"/>
        <v>-151457.41</v>
      </c>
      <c r="M32" s="3"/>
      <c r="N32" s="22">
        <f t="shared" si="15"/>
        <v>-1</v>
      </c>
      <c r="O32" s="12"/>
      <c r="P32" s="3">
        <v>0</v>
      </c>
      <c r="Q32" s="3"/>
      <c r="R32" s="22">
        <f t="shared" si="16"/>
        <v>0</v>
      </c>
      <c r="S32" s="3"/>
      <c r="T32" s="3">
        <v>151457.41</v>
      </c>
      <c r="U32" s="3"/>
      <c r="V32" s="22">
        <f t="shared" si="17"/>
        <v>3.7177571226728636</v>
      </c>
      <c r="W32" s="3"/>
      <c r="X32" s="3">
        <f t="shared" si="18"/>
        <v>-151457.41</v>
      </c>
      <c r="Y32" s="3"/>
      <c r="Z32" s="22">
        <f t="shared" si="19"/>
        <v>-1</v>
      </c>
    </row>
    <row r="33" spans="1:26" s="24" customFormat="1" hidden="1" outlineLevel="1" x14ac:dyDescent="0.3">
      <c r="A33" s="50"/>
      <c r="B33" s="12" t="str">
        <f>CONCATENATE("          ", "5002", " - ", "PURCHASES @ COST-USED TEXT")</f>
        <v xml:space="preserve">          5002 - PURCHASES @ COST-USED TEXT</v>
      </c>
      <c r="C33" s="12"/>
      <c r="D33" s="3">
        <v>0</v>
      </c>
      <c r="E33" s="3"/>
      <c r="F33" s="22">
        <f t="shared" si="12"/>
        <v>0</v>
      </c>
      <c r="G33" s="3"/>
      <c r="H33" s="3">
        <v>57248.79</v>
      </c>
      <c r="I33" s="3"/>
      <c r="J33" s="22">
        <f t="shared" si="13"/>
        <v>1.4052603750909447</v>
      </c>
      <c r="K33" s="3"/>
      <c r="L33" s="3">
        <f t="shared" si="14"/>
        <v>-57248.79</v>
      </c>
      <c r="M33" s="3"/>
      <c r="N33" s="22">
        <f t="shared" si="15"/>
        <v>-1</v>
      </c>
      <c r="O33" s="12"/>
      <c r="P33" s="3">
        <v>0</v>
      </c>
      <c r="Q33" s="3"/>
      <c r="R33" s="22">
        <f t="shared" si="16"/>
        <v>0</v>
      </c>
      <c r="S33" s="3"/>
      <c r="T33" s="3">
        <v>57248.79</v>
      </c>
      <c r="U33" s="3"/>
      <c r="V33" s="22">
        <f t="shared" si="17"/>
        <v>1.4052603750909447</v>
      </c>
      <c r="W33" s="3"/>
      <c r="X33" s="3">
        <f t="shared" si="18"/>
        <v>-57248.79</v>
      </c>
      <c r="Y33" s="3"/>
      <c r="Z33" s="22">
        <f t="shared" si="19"/>
        <v>-1</v>
      </c>
    </row>
    <row r="34" spans="1:26" s="24" customFormat="1" hidden="1" outlineLevel="1" x14ac:dyDescent="0.3">
      <c r="A34" s="50"/>
      <c r="B34" s="12" t="str">
        <f>CONCATENATE("          ", "5003", " - ", "PURCHASES @ COST-RENTAL TEXT")</f>
        <v xml:space="preserve">          5003 - PURCHASES @ COST-RENTAL TEXT</v>
      </c>
      <c r="C34" s="12"/>
      <c r="D34" s="3"/>
      <c r="E34" s="3"/>
      <c r="F34" s="22">
        <f t="shared" si="12"/>
        <v>0</v>
      </c>
      <c r="G34" s="3"/>
      <c r="H34" s="3">
        <v>-11926.64</v>
      </c>
      <c r="I34" s="3"/>
      <c r="J34" s="22">
        <f t="shared" si="13"/>
        <v>-0.29275788361596228</v>
      </c>
      <c r="K34" s="3"/>
      <c r="L34" s="3">
        <f t="shared" si="14"/>
        <v>11926.64</v>
      </c>
      <c r="M34" s="3"/>
      <c r="N34" s="22">
        <f t="shared" si="15"/>
        <v>-1</v>
      </c>
      <c r="O34" s="12"/>
      <c r="P34" s="3"/>
      <c r="Q34" s="3"/>
      <c r="R34" s="22">
        <f t="shared" si="16"/>
        <v>0</v>
      </c>
      <c r="S34" s="3"/>
      <c r="T34" s="3">
        <v>-11926.64</v>
      </c>
      <c r="U34" s="3"/>
      <c r="V34" s="22">
        <f t="shared" si="17"/>
        <v>-0.29275788361596228</v>
      </c>
      <c r="W34" s="3"/>
      <c r="X34" s="3">
        <f t="shared" si="18"/>
        <v>11926.64</v>
      </c>
      <c r="Y34" s="3"/>
      <c r="Z34" s="22">
        <f t="shared" si="19"/>
        <v>-1</v>
      </c>
    </row>
    <row r="35" spans="1:26" s="24" customFormat="1" hidden="1" outlineLevel="1" x14ac:dyDescent="0.3">
      <c r="A35" s="50"/>
      <c r="B35" s="12" t="str">
        <f>CONCATENATE("          ", "5004", " - ", "PURCHASES @ COST-DIGITAL TEXT")</f>
        <v xml:space="preserve">          5004 - PURCHASES @ COST-DIGITAL TEXT</v>
      </c>
      <c r="C35" s="12"/>
      <c r="D35" s="3">
        <v>0</v>
      </c>
      <c r="E35" s="3"/>
      <c r="F35" s="22">
        <f t="shared" si="12"/>
        <v>0</v>
      </c>
      <c r="G35" s="3"/>
      <c r="H35" s="3">
        <v>4925.4799999999996</v>
      </c>
      <c r="I35" s="3"/>
      <c r="J35" s="22">
        <f t="shared" si="13"/>
        <v>0.12090354874405111</v>
      </c>
      <c r="K35" s="3"/>
      <c r="L35" s="3">
        <f t="shared" si="14"/>
        <v>-4925.4799999999996</v>
      </c>
      <c r="M35" s="3"/>
      <c r="N35" s="22">
        <f t="shared" si="15"/>
        <v>-1</v>
      </c>
      <c r="O35" s="12"/>
      <c r="P35" s="3">
        <v>0</v>
      </c>
      <c r="Q35" s="3"/>
      <c r="R35" s="22">
        <f t="shared" si="16"/>
        <v>0</v>
      </c>
      <c r="S35" s="3"/>
      <c r="T35" s="3">
        <v>4925.4799999999996</v>
      </c>
      <c r="U35" s="3"/>
      <c r="V35" s="22">
        <f t="shared" si="17"/>
        <v>0.12090354874405111</v>
      </c>
      <c r="W35" s="3"/>
      <c r="X35" s="3">
        <f t="shared" si="18"/>
        <v>-4925.4799999999996</v>
      </c>
      <c r="Y35" s="3"/>
      <c r="Z35" s="22">
        <f t="shared" si="19"/>
        <v>-1</v>
      </c>
    </row>
    <row r="36" spans="1:26" s="24" customFormat="1" hidden="1" outlineLevel="1" x14ac:dyDescent="0.3">
      <c r="A36" s="50"/>
      <c r="B36" s="12" t="str">
        <f>CONCATENATE("          ", "5013", " - ", "PURCHASES @ COST-TRADE BOOKS")</f>
        <v xml:space="preserve">          5013 - PURCHASES @ COST-TRADE BOOKS</v>
      </c>
      <c r="C36" s="12"/>
      <c r="D36" s="3"/>
      <c r="E36" s="3"/>
      <c r="F36" s="22">
        <f t="shared" si="12"/>
        <v>0</v>
      </c>
      <c r="G36" s="3"/>
      <c r="H36" s="3">
        <v>108.54</v>
      </c>
      <c r="I36" s="3"/>
      <c r="J36" s="22">
        <f t="shared" si="13"/>
        <v>2.6642827055798238E-3</v>
      </c>
      <c r="K36" s="3"/>
      <c r="L36" s="3">
        <f t="shared" si="14"/>
        <v>-108.54</v>
      </c>
      <c r="M36" s="3"/>
      <c r="N36" s="22">
        <f t="shared" si="15"/>
        <v>-1</v>
      </c>
      <c r="O36" s="12"/>
      <c r="P36" s="3"/>
      <c r="Q36" s="3"/>
      <c r="R36" s="22">
        <f t="shared" si="16"/>
        <v>0</v>
      </c>
      <c r="S36" s="3"/>
      <c r="T36" s="3">
        <v>108.54</v>
      </c>
      <c r="U36" s="3"/>
      <c r="V36" s="22">
        <f t="shared" si="17"/>
        <v>2.6642827055798238E-3</v>
      </c>
      <c r="W36" s="3"/>
      <c r="X36" s="3">
        <f t="shared" si="18"/>
        <v>-108.54</v>
      </c>
      <c r="Y36" s="3"/>
      <c r="Z36" s="22">
        <f t="shared" si="19"/>
        <v>-1</v>
      </c>
    </row>
    <row r="37" spans="1:26" s="24" customFormat="1" hidden="1" outlineLevel="1" x14ac:dyDescent="0.3">
      <c r="A37" s="50"/>
      <c r="B37" s="12" t="str">
        <f>CONCATENATE("          ", "5014", " - ", "PURCHASES @ COST-REMAINDERS")</f>
        <v xml:space="preserve">          5014 - PURCHASES @ COST-REMAINDERS</v>
      </c>
      <c r="C37" s="12"/>
      <c r="D37" s="3"/>
      <c r="E37" s="3"/>
      <c r="F37" s="22">
        <f t="shared" si="12"/>
        <v>0</v>
      </c>
      <c r="G37" s="3"/>
      <c r="H37" s="3">
        <v>-12.51</v>
      </c>
      <c r="I37" s="3"/>
      <c r="J37" s="22">
        <f t="shared" si="13"/>
        <v>-3.0707735993001282E-4</v>
      </c>
      <c r="K37" s="3"/>
      <c r="L37" s="3">
        <f t="shared" si="14"/>
        <v>12.51</v>
      </c>
      <c r="M37" s="3"/>
      <c r="N37" s="22">
        <f t="shared" si="15"/>
        <v>-1</v>
      </c>
      <c r="O37" s="12"/>
      <c r="P37" s="3"/>
      <c r="Q37" s="3"/>
      <c r="R37" s="22">
        <f t="shared" si="16"/>
        <v>0</v>
      </c>
      <c r="S37" s="3"/>
      <c r="T37" s="3">
        <v>-12.51</v>
      </c>
      <c r="U37" s="3"/>
      <c r="V37" s="22">
        <f t="shared" si="17"/>
        <v>-3.0707735993001282E-4</v>
      </c>
      <c r="W37" s="3"/>
      <c r="X37" s="3">
        <f t="shared" si="18"/>
        <v>12.51</v>
      </c>
      <c r="Y37" s="3"/>
      <c r="Z37" s="22">
        <f t="shared" si="19"/>
        <v>-1</v>
      </c>
    </row>
    <row r="38" spans="1:26" s="24" customFormat="1" hidden="1" outlineLevel="1" x14ac:dyDescent="0.3">
      <c r="A38" s="50"/>
      <c r="B38" s="12" t="str">
        <f>CONCATENATE("          ", "5200", " - ", "PURCHASES OFFSET")</f>
        <v xml:space="preserve">          5200 - PURCHASES OFFSET</v>
      </c>
      <c r="C38" s="12"/>
      <c r="D38" s="3">
        <v>-264391.71999999997</v>
      </c>
      <c r="E38" s="3"/>
      <c r="F38" s="22">
        <f t="shared" si="12"/>
        <v>-4.7043450720264186</v>
      </c>
      <c r="G38" s="3"/>
      <c r="H38" s="3">
        <v>-202651.68</v>
      </c>
      <c r="I38" s="3"/>
      <c r="J38" s="22">
        <f t="shared" si="13"/>
        <v>-4.9743999104541787</v>
      </c>
      <c r="K38" s="3"/>
      <c r="L38" s="3">
        <f t="shared" si="14"/>
        <v>-61740.039999999979</v>
      </c>
      <c r="M38" s="3"/>
      <c r="N38" s="22">
        <f t="shared" si="15"/>
        <v>0.30466088413380032</v>
      </c>
      <c r="O38" s="12"/>
      <c r="P38" s="3">
        <v>-264391.71999999997</v>
      </c>
      <c r="Q38" s="3"/>
      <c r="R38" s="22">
        <f t="shared" si="16"/>
        <v>-4.7043450720264186</v>
      </c>
      <c r="S38" s="3"/>
      <c r="T38" s="3">
        <v>-202651.68</v>
      </c>
      <c r="U38" s="3"/>
      <c r="V38" s="22">
        <f t="shared" si="17"/>
        <v>-4.9743999104541787</v>
      </c>
      <c r="W38" s="3"/>
      <c r="X38" s="3">
        <f t="shared" si="18"/>
        <v>-61740.039999999979</v>
      </c>
      <c r="Y38" s="3"/>
      <c r="Z38" s="22">
        <f t="shared" si="19"/>
        <v>0.30466088413380032</v>
      </c>
    </row>
    <row r="39" spans="1:26" s="24" customFormat="1" hidden="1" outlineLevel="1" x14ac:dyDescent="0.3">
      <c r="A39" s="50"/>
      <c r="B39" s="12" t="str">
        <f>CONCATENATE("          ", "5300", " - ", "COG$ OFFSET")</f>
        <v xml:space="preserve">          5300 - COG$ OFFSET</v>
      </c>
      <c r="C39" s="12"/>
      <c r="D39" s="3">
        <v>42691.72</v>
      </c>
      <c r="E39" s="3"/>
      <c r="F39" s="22">
        <f t="shared" si="12"/>
        <v>0.75961751978591363</v>
      </c>
      <c r="G39" s="3"/>
      <c r="H39" s="3">
        <v>26088</v>
      </c>
      <c r="I39" s="3"/>
      <c r="J39" s="22">
        <f t="shared" si="13"/>
        <v>0.64037043691879891</v>
      </c>
      <c r="K39" s="3"/>
      <c r="L39" s="3">
        <f t="shared" si="14"/>
        <v>16603.72</v>
      </c>
      <c r="M39" s="3"/>
      <c r="N39" s="22">
        <f t="shared" si="15"/>
        <v>0.63645047531432075</v>
      </c>
      <c r="O39" s="12"/>
      <c r="P39" s="3">
        <v>42691.72</v>
      </c>
      <c r="Q39" s="3"/>
      <c r="R39" s="22">
        <f t="shared" si="16"/>
        <v>0.75961751978591363</v>
      </c>
      <c r="S39" s="3"/>
      <c r="T39" s="3">
        <v>26088</v>
      </c>
      <c r="U39" s="3"/>
      <c r="V39" s="22">
        <f t="shared" si="17"/>
        <v>0.64037043691879891</v>
      </c>
      <c r="W39" s="3"/>
      <c r="X39" s="3">
        <f t="shared" si="18"/>
        <v>16603.72</v>
      </c>
      <c r="Y39" s="3"/>
      <c r="Z39" s="22">
        <f t="shared" si="19"/>
        <v>0.63645047531432075</v>
      </c>
    </row>
    <row r="40" spans="1:26" s="24" customFormat="1" hidden="1" outlineLevel="1" x14ac:dyDescent="0.3">
      <c r="A40" s="50"/>
      <c r="B40" s="12" t="str">
        <f>CONCATENATE("          ", "5500", " - ", "FREIGHT-IN")</f>
        <v xml:space="preserve">          5500 - FREIGHT-IN</v>
      </c>
      <c r="C40" s="12"/>
      <c r="D40" s="3">
        <v>2183.71</v>
      </c>
      <c r="E40" s="3"/>
      <c r="F40" s="22">
        <f t="shared" si="12"/>
        <v>3.8854943631498037E-2</v>
      </c>
      <c r="G40" s="3"/>
      <c r="H40" s="3">
        <v>0</v>
      </c>
      <c r="I40" s="3"/>
      <c r="J40" s="22">
        <f t="shared" si="13"/>
        <v>0</v>
      </c>
      <c r="K40" s="3"/>
      <c r="L40" s="3">
        <f t="shared" si="14"/>
        <v>2183.71</v>
      </c>
      <c r="M40" s="3"/>
      <c r="N40" s="22">
        <f t="shared" si="15"/>
        <v>0</v>
      </c>
      <c r="O40" s="12"/>
      <c r="P40" s="3">
        <v>2183.71</v>
      </c>
      <c r="Q40" s="3"/>
      <c r="R40" s="22">
        <f t="shared" si="16"/>
        <v>3.8854943631498037E-2</v>
      </c>
      <c r="S40" s="3"/>
      <c r="T40" s="3">
        <v>0</v>
      </c>
      <c r="U40" s="3"/>
      <c r="V40" s="22">
        <f t="shared" si="17"/>
        <v>0</v>
      </c>
      <c r="W40" s="3"/>
      <c r="X40" s="3">
        <f t="shared" si="18"/>
        <v>2183.71</v>
      </c>
      <c r="Y40" s="3"/>
      <c r="Z40" s="22">
        <f t="shared" si="19"/>
        <v>0</v>
      </c>
    </row>
    <row r="41" spans="1:26" s="24" customFormat="1" hidden="1" outlineLevel="1" x14ac:dyDescent="0.3">
      <c r="A41" s="50"/>
      <c r="B41" s="12" t="str">
        <f>CONCATENATE("          ", "5501", " - ", "FREIGHT-IN-NEW TEXT")</f>
        <v xml:space="preserve">          5501 - FREIGHT-IN-NEW TEXT</v>
      </c>
      <c r="C41" s="12"/>
      <c r="D41" s="3">
        <v>0</v>
      </c>
      <c r="E41" s="3"/>
      <c r="F41" s="22">
        <f t="shared" si="12"/>
        <v>0</v>
      </c>
      <c r="G41" s="3"/>
      <c r="H41" s="3">
        <v>802.72</v>
      </c>
      <c r="I41" s="3"/>
      <c r="J41" s="22">
        <f t="shared" si="13"/>
        <v>1.970400786275139E-2</v>
      </c>
      <c r="K41" s="3"/>
      <c r="L41" s="3">
        <f t="shared" si="14"/>
        <v>-802.72</v>
      </c>
      <c r="M41" s="3"/>
      <c r="N41" s="22">
        <f t="shared" si="15"/>
        <v>-1</v>
      </c>
      <c r="O41" s="12"/>
      <c r="P41" s="3">
        <v>0</v>
      </c>
      <c r="Q41" s="3"/>
      <c r="R41" s="22">
        <f t="shared" si="16"/>
        <v>0</v>
      </c>
      <c r="S41" s="3"/>
      <c r="T41" s="3">
        <v>802.72</v>
      </c>
      <c r="U41" s="3"/>
      <c r="V41" s="22">
        <f t="shared" si="17"/>
        <v>1.970400786275139E-2</v>
      </c>
      <c r="W41" s="3"/>
      <c r="X41" s="3">
        <f t="shared" si="18"/>
        <v>-802.72</v>
      </c>
      <c r="Y41" s="3"/>
      <c r="Z41" s="22">
        <f t="shared" si="19"/>
        <v>-1</v>
      </c>
    </row>
    <row r="42" spans="1:26" s="24" customFormat="1" hidden="1" outlineLevel="1" x14ac:dyDescent="0.3">
      <c r="A42" s="50"/>
      <c r="B42" s="12" t="str">
        <f>CONCATENATE("          ", "5502", " - ", "FREIGHT-IN-USED TEXT")</f>
        <v xml:space="preserve">          5502 - FREIGHT-IN-USED TEXT</v>
      </c>
      <c r="C42" s="12"/>
      <c r="D42" s="3">
        <v>0</v>
      </c>
      <c r="E42" s="3"/>
      <c r="F42" s="22">
        <f t="shared" si="12"/>
        <v>0</v>
      </c>
      <c r="G42" s="3"/>
      <c r="H42" s="3">
        <v>47.89</v>
      </c>
      <c r="I42" s="3"/>
      <c r="J42" s="22">
        <f t="shared" si="13"/>
        <v>1.1755343538807606E-3</v>
      </c>
      <c r="K42" s="3"/>
      <c r="L42" s="3">
        <f t="shared" si="14"/>
        <v>-47.89</v>
      </c>
      <c r="M42" s="3"/>
      <c r="N42" s="22">
        <f t="shared" si="15"/>
        <v>-1</v>
      </c>
      <c r="O42" s="12"/>
      <c r="P42" s="3">
        <v>0</v>
      </c>
      <c r="Q42" s="3"/>
      <c r="R42" s="22">
        <f t="shared" si="16"/>
        <v>0</v>
      </c>
      <c r="S42" s="3"/>
      <c r="T42" s="3">
        <v>47.89</v>
      </c>
      <c r="U42" s="3"/>
      <c r="V42" s="22">
        <f t="shared" si="17"/>
        <v>1.1755343538807606E-3</v>
      </c>
      <c r="W42" s="3"/>
      <c r="X42" s="3">
        <f t="shared" si="18"/>
        <v>-47.89</v>
      </c>
      <c r="Y42" s="3"/>
      <c r="Z42" s="22">
        <f t="shared" si="19"/>
        <v>-1</v>
      </c>
    </row>
    <row r="43" spans="1:26" s="24" customFormat="1" hidden="1" outlineLevel="1" x14ac:dyDescent="0.3">
      <c r="A43" s="50"/>
      <c r="B43" s="12" t="str">
        <f>CONCATENATE("          ", "5518", " - ", "FREIGHT-IN-STUDY GUIDES")</f>
        <v xml:space="preserve">          5518 - FREIGHT-IN-STUDY GUIDES</v>
      </c>
      <c r="C43" s="12"/>
      <c r="D43" s="3">
        <v>0</v>
      </c>
      <c r="E43" s="3"/>
      <c r="F43" s="22">
        <f t="shared" si="12"/>
        <v>0</v>
      </c>
      <c r="G43" s="3"/>
      <c r="H43" s="3"/>
      <c r="I43" s="3"/>
      <c r="J43" s="22">
        <f t="shared" si="13"/>
        <v>0</v>
      </c>
      <c r="K43" s="3"/>
      <c r="L43" s="3">
        <f t="shared" si="14"/>
        <v>0</v>
      </c>
      <c r="M43" s="3"/>
      <c r="N43" s="22">
        <f t="shared" si="15"/>
        <v>0</v>
      </c>
      <c r="O43" s="12"/>
      <c r="P43" s="3">
        <v>0</v>
      </c>
      <c r="Q43" s="3"/>
      <c r="R43" s="22">
        <f t="shared" si="16"/>
        <v>0</v>
      </c>
      <c r="S43" s="3"/>
      <c r="T43" s="3"/>
      <c r="U43" s="3"/>
      <c r="V43" s="22">
        <f t="shared" si="17"/>
        <v>0</v>
      </c>
      <c r="W43" s="3"/>
      <c r="X43" s="3">
        <f t="shared" si="18"/>
        <v>0</v>
      </c>
      <c r="Y43" s="3"/>
      <c r="Z43" s="22">
        <f t="shared" si="19"/>
        <v>0</v>
      </c>
    </row>
    <row r="44" spans="1:26" x14ac:dyDescent="0.3">
      <c r="A44" s="9"/>
      <c r="B44" s="10"/>
      <c r="C44" s="10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10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23" customFormat="1" x14ac:dyDescent="0.3">
      <c r="A45" s="10"/>
      <c r="B45" s="26" t="s">
        <v>107</v>
      </c>
      <c r="C45" s="26"/>
      <c r="D45" s="20">
        <f>D12-D30</f>
        <v>13509.879999999961</v>
      </c>
      <c r="E45" s="13"/>
      <c r="F45" s="21">
        <f>IF(D$12=0,0,D45/D$12)</f>
        <v>0.24038248021408573</v>
      </c>
      <c r="G45" s="13"/>
      <c r="H45" s="20">
        <f>H12-H30</f>
        <v>14650.919999999991</v>
      </c>
      <c r="I45" s="13"/>
      <c r="J45" s="21">
        <f>IF(H$12=0,0,H45/H$12)</f>
        <v>0.3596295630812007</v>
      </c>
      <c r="K45" s="16"/>
      <c r="L45" s="20">
        <f>+D45-H45</f>
        <v>-1141.04000000003</v>
      </c>
      <c r="M45" s="16"/>
      <c r="N45" s="21">
        <f>IF(H45=0,0,L45/H45)</f>
        <v>-7.7881798549171696E-2</v>
      </c>
      <c r="O45" s="25"/>
      <c r="P45" s="20">
        <f>P12-P30</f>
        <v>13509.879999999961</v>
      </c>
      <c r="Q45" s="13"/>
      <c r="R45" s="21">
        <f>IF(P$12=0,0,P45/P$12)</f>
        <v>0.24038248021408573</v>
      </c>
      <c r="S45" s="13"/>
      <c r="T45" s="20">
        <f>T12-T30</f>
        <v>14650.919999999991</v>
      </c>
      <c r="U45" s="13"/>
      <c r="V45" s="21">
        <f>IF(T$12=0,0,T45/T$12)</f>
        <v>0.3596295630812007</v>
      </c>
      <c r="W45" s="16"/>
      <c r="X45" s="20">
        <f>+P45-T45</f>
        <v>-1141.04000000003</v>
      </c>
      <c r="Y45" s="16"/>
      <c r="Z45" s="21">
        <f>IF(T45=0,0,X45/T45)</f>
        <v>-7.7881798549171696E-2</v>
      </c>
    </row>
    <row r="46" spans="1:26" x14ac:dyDescent="0.3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3">
      <c r="A47" s="10"/>
      <c r="B47" s="25" t="s">
        <v>294</v>
      </c>
      <c r="C47" s="10"/>
      <c r="D47" s="19">
        <f>SUM(OSRRefD22x_0)</f>
        <v>49140.74</v>
      </c>
      <c r="E47" s="19"/>
      <c r="F47" s="35">
        <f t="shared" ref="F47:F57" si="20">IF(D$12=0,0,D47/D$12)</f>
        <v>0.8743654984911462</v>
      </c>
      <c r="G47" s="19"/>
      <c r="H47" s="19">
        <f>SUM(OSRRefH22x_0)</f>
        <v>40144.11</v>
      </c>
      <c r="I47" s="19"/>
      <c r="J47" s="35">
        <f t="shared" ref="J47:J57" si="21">IF(H$12=0,0,H47/H$12)</f>
        <v>0.98539946567066572</v>
      </c>
      <c r="K47" s="4"/>
      <c r="L47" s="19">
        <f t="shared" ref="L47:L57" si="22">+D47-H47</f>
        <v>8996.6299999999974</v>
      </c>
      <c r="M47" s="4"/>
      <c r="N47" s="35">
        <f t="shared" ref="N47:N57" si="23">IF(H47=0,0,L47/H47)</f>
        <v>0.22410834366486135</v>
      </c>
      <c r="O47" s="10"/>
      <c r="P47" s="19">
        <f>SUM(OSRRefP22x_0)</f>
        <v>49140.74</v>
      </c>
      <c r="Q47" s="19"/>
      <c r="R47" s="35">
        <f t="shared" ref="R47:R57" si="24">IF(P$12=0,0,P47/P$12)</f>
        <v>0.8743654984911462</v>
      </c>
      <c r="S47" s="19"/>
      <c r="T47" s="19">
        <f>SUM(OSRRefT22x_0)</f>
        <v>40144.11</v>
      </c>
      <c r="U47" s="19"/>
      <c r="V47" s="35">
        <f t="shared" ref="V47:V57" si="25">IF(T$12=0,0,T47/T$12)</f>
        <v>0.98539946567066572</v>
      </c>
      <c r="W47" s="4"/>
      <c r="X47" s="19">
        <f t="shared" ref="X47:X57" si="26">+P47-T47</f>
        <v>8996.6299999999974</v>
      </c>
      <c r="Y47" s="4"/>
      <c r="Z47" s="35">
        <f t="shared" ref="Z47:Z57" si="27">IF(T47=0,0,X47/T47)</f>
        <v>0.22410834366486135</v>
      </c>
    </row>
    <row r="48" spans="1:26" s="29" customFormat="1" outlineLevel="1" collapsed="1" x14ac:dyDescent="0.3">
      <c r="A48" s="28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11803.07</v>
      </c>
      <c r="E48" s="1"/>
      <c r="F48" s="5">
        <f t="shared" si="20"/>
        <v>0.21001306012640208</v>
      </c>
      <c r="G48" s="1"/>
      <c r="H48" s="1">
        <f>SUM(OSRRefH22_0x_0)</f>
        <v>11154.429999999998</v>
      </c>
      <c r="I48" s="1"/>
      <c r="J48" s="5">
        <f t="shared" si="21"/>
        <v>0.27380279104109773</v>
      </c>
      <c r="K48" s="1"/>
      <c r="L48" s="1">
        <f t="shared" si="22"/>
        <v>648.64000000000124</v>
      </c>
      <c r="M48" s="1"/>
      <c r="N48" s="5">
        <f t="shared" si="23"/>
        <v>5.8150887136321744E-2</v>
      </c>
      <c r="O48" s="14"/>
      <c r="P48" s="1">
        <f>SUM(OSRRefP22_0x_0)</f>
        <v>11803.07</v>
      </c>
      <c r="Q48" s="1"/>
      <c r="R48" s="5">
        <f t="shared" si="24"/>
        <v>0.21001306012640208</v>
      </c>
      <c r="S48" s="1"/>
      <c r="T48" s="1">
        <f>SUM(OSRRefT22_0x_0)</f>
        <v>11154.429999999998</v>
      </c>
      <c r="U48" s="1"/>
      <c r="V48" s="5">
        <f t="shared" si="25"/>
        <v>0.27380279104109773</v>
      </c>
      <c r="W48" s="1"/>
      <c r="X48" s="1">
        <f t="shared" si="26"/>
        <v>648.64000000000124</v>
      </c>
      <c r="Y48" s="1"/>
      <c r="Z48" s="5">
        <f t="shared" si="27"/>
        <v>5.8150887136321744E-2</v>
      </c>
    </row>
    <row r="49" spans="1:26" s="24" customFormat="1" hidden="1" outlineLevel="2" x14ac:dyDescent="0.3">
      <c r="A49" s="27"/>
      <c r="B49" s="12" t="str">
        <f>CONCATENATE("          ", "6111", " - ", "F.I.C.A.")</f>
        <v xml:space="preserve">          6111 - F.I.C.A.</v>
      </c>
      <c r="C49" s="12"/>
      <c r="D49" s="8">
        <v>2103.61</v>
      </c>
      <c r="E49" s="3"/>
      <c r="F49" s="7">
        <f t="shared" si="20"/>
        <v>3.7429717303421969E-2</v>
      </c>
      <c r="G49" s="3"/>
      <c r="H49" s="8">
        <v>1802.45</v>
      </c>
      <c r="I49" s="3"/>
      <c r="J49" s="7">
        <f t="shared" si="21"/>
        <v>4.424393184699054E-2</v>
      </c>
      <c r="K49" s="3"/>
      <c r="L49" s="8">
        <f t="shared" si="22"/>
        <v>301.16000000000008</v>
      </c>
      <c r="M49" s="3"/>
      <c r="N49" s="7">
        <f t="shared" si="23"/>
        <v>0.16708369164193185</v>
      </c>
      <c r="O49" s="12"/>
      <c r="P49" s="8">
        <v>2103.61</v>
      </c>
      <c r="Q49" s="3"/>
      <c r="R49" s="7">
        <f t="shared" si="24"/>
        <v>3.7429717303421969E-2</v>
      </c>
      <c r="S49" s="3"/>
      <c r="T49" s="8">
        <v>1802.45</v>
      </c>
      <c r="U49" s="3"/>
      <c r="V49" s="7">
        <f t="shared" si="25"/>
        <v>4.424393184699054E-2</v>
      </c>
      <c r="W49" s="3"/>
      <c r="X49" s="8">
        <f t="shared" si="26"/>
        <v>301.16000000000008</v>
      </c>
      <c r="Y49" s="3"/>
      <c r="Z49" s="7">
        <f t="shared" si="27"/>
        <v>0.16708369164193185</v>
      </c>
    </row>
    <row r="50" spans="1:26" s="24" customFormat="1" hidden="1" outlineLevel="2" x14ac:dyDescent="0.3">
      <c r="A50" s="27"/>
      <c r="B50" s="12" t="str">
        <f>CONCATENATE("          ", "6112", " - ", "COMPENSATION INSURANCE")</f>
        <v xml:space="preserve">          6112 - COMPENSATION INSURANCE</v>
      </c>
      <c r="C50" s="12"/>
      <c r="D50" s="8">
        <v>382.51</v>
      </c>
      <c r="E50" s="3"/>
      <c r="F50" s="7">
        <f t="shared" si="20"/>
        <v>6.8060339919148206E-3</v>
      </c>
      <c r="G50" s="3"/>
      <c r="H50" s="8">
        <v>147.41999999999999</v>
      </c>
      <c r="I50" s="3"/>
      <c r="J50" s="7">
        <f t="shared" si="21"/>
        <v>3.6186526299666257E-3</v>
      </c>
      <c r="K50" s="3"/>
      <c r="L50" s="8">
        <f t="shared" si="22"/>
        <v>235.09</v>
      </c>
      <c r="M50" s="3"/>
      <c r="N50" s="7">
        <f t="shared" si="23"/>
        <v>1.5946954280287615</v>
      </c>
      <c r="O50" s="12"/>
      <c r="P50" s="8">
        <v>382.51</v>
      </c>
      <c r="Q50" s="3"/>
      <c r="R50" s="7">
        <f t="shared" si="24"/>
        <v>6.8060339919148206E-3</v>
      </c>
      <c r="S50" s="3"/>
      <c r="T50" s="8">
        <v>147.41999999999999</v>
      </c>
      <c r="U50" s="3"/>
      <c r="V50" s="7">
        <f t="shared" si="25"/>
        <v>3.6186526299666257E-3</v>
      </c>
      <c r="W50" s="3"/>
      <c r="X50" s="8">
        <f t="shared" si="26"/>
        <v>235.09</v>
      </c>
      <c r="Y50" s="3"/>
      <c r="Z50" s="7">
        <f t="shared" si="27"/>
        <v>1.5946954280287615</v>
      </c>
    </row>
    <row r="51" spans="1:26" s="24" customFormat="1" hidden="1" outlineLevel="2" x14ac:dyDescent="0.3">
      <c r="A51" s="27"/>
      <c r="B51" s="12" t="str">
        <f>CONCATENATE("          ", "6113", " - ", "GROUP INSURANCE")</f>
        <v xml:space="preserve">          6113 - GROUP INSURANCE</v>
      </c>
      <c r="C51" s="12"/>
      <c r="D51" s="8">
        <v>4593.8599999999997</v>
      </c>
      <c r="E51" s="3"/>
      <c r="F51" s="7">
        <f t="shared" si="20"/>
        <v>8.1738954051130214E-2</v>
      </c>
      <c r="G51" s="3"/>
      <c r="H51" s="8">
        <v>4248.21</v>
      </c>
      <c r="I51" s="3"/>
      <c r="J51" s="7">
        <f t="shared" si="21"/>
        <v>0.10427890577364347</v>
      </c>
      <c r="K51" s="3"/>
      <c r="L51" s="8">
        <f t="shared" si="22"/>
        <v>345.64999999999964</v>
      </c>
      <c r="M51" s="3"/>
      <c r="N51" s="7">
        <f t="shared" si="23"/>
        <v>8.1363680232380137E-2</v>
      </c>
      <c r="O51" s="12"/>
      <c r="P51" s="8">
        <v>4593.8599999999997</v>
      </c>
      <c r="Q51" s="3"/>
      <c r="R51" s="7">
        <f t="shared" si="24"/>
        <v>8.1738954051130214E-2</v>
      </c>
      <c r="S51" s="3"/>
      <c r="T51" s="8">
        <v>4248.21</v>
      </c>
      <c r="U51" s="3"/>
      <c r="V51" s="7">
        <f t="shared" si="25"/>
        <v>0.10427890577364347</v>
      </c>
      <c r="W51" s="3"/>
      <c r="X51" s="8">
        <f t="shared" si="26"/>
        <v>345.64999999999964</v>
      </c>
      <c r="Y51" s="3"/>
      <c r="Z51" s="7">
        <f t="shared" si="27"/>
        <v>8.1363680232380137E-2</v>
      </c>
    </row>
    <row r="52" spans="1:26" s="24" customFormat="1" hidden="1" outlineLevel="2" x14ac:dyDescent="0.3">
      <c r="A52" s="27"/>
      <c r="B52" s="12" t="str">
        <f>CONCATENATE("          ", "6114", " - ", "STATE UNEMPLOYMENT INSURANCE")</f>
        <v xml:space="preserve">          6114 - STATE UNEMPLOYMENT INSURANCE</v>
      </c>
      <c r="C52" s="12"/>
      <c r="D52" s="8">
        <v>74.709999999999994</v>
      </c>
      <c r="E52" s="3"/>
      <c r="F52" s="7">
        <f t="shared" si="20"/>
        <v>1.3293215851506006E-3</v>
      </c>
      <c r="G52" s="3"/>
      <c r="H52" s="8">
        <v>61.43</v>
      </c>
      <c r="I52" s="3"/>
      <c r="J52" s="7">
        <f t="shared" si="21"/>
        <v>1.5078946619105267E-3</v>
      </c>
      <c r="K52" s="3"/>
      <c r="L52" s="8">
        <f t="shared" si="22"/>
        <v>13.279999999999994</v>
      </c>
      <c r="M52" s="3"/>
      <c r="N52" s="7">
        <f t="shared" si="23"/>
        <v>0.2161810190460686</v>
      </c>
      <c r="O52" s="12"/>
      <c r="P52" s="8">
        <v>74.709999999999994</v>
      </c>
      <c r="Q52" s="3"/>
      <c r="R52" s="7">
        <f t="shared" si="24"/>
        <v>1.3293215851506006E-3</v>
      </c>
      <c r="S52" s="3"/>
      <c r="T52" s="8">
        <v>61.43</v>
      </c>
      <c r="U52" s="3"/>
      <c r="V52" s="7">
        <f t="shared" si="25"/>
        <v>1.5078946619105267E-3</v>
      </c>
      <c r="W52" s="3"/>
      <c r="X52" s="8">
        <f t="shared" si="26"/>
        <v>13.279999999999994</v>
      </c>
      <c r="Y52" s="3"/>
      <c r="Z52" s="7">
        <f t="shared" si="27"/>
        <v>0.2161810190460686</v>
      </c>
    </row>
    <row r="53" spans="1:26" s="24" customFormat="1" hidden="1" outlineLevel="2" x14ac:dyDescent="0.3">
      <c r="A53" s="27"/>
      <c r="B53" s="12" t="str">
        <f>CONCATENATE("          ", "6115", " - ", "P.E.R.S.")</f>
        <v xml:space="preserve">          6115 - P.E.R.S.</v>
      </c>
      <c r="C53" s="12"/>
      <c r="D53" s="8">
        <v>1607.1</v>
      </c>
      <c r="E53" s="3"/>
      <c r="F53" s="7">
        <f t="shared" si="20"/>
        <v>2.8595271309001878E-2</v>
      </c>
      <c r="G53" s="3"/>
      <c r="H53" s="8">
        <v>2220.3200000000002</v>
      </c>
      <c r="I53" s="3"/>
      <c r="J53" s="7">
        <f t="shared" si="21"/>
        <v>5.4501199344508887E-2</v>
      </c>
      <c r="K53" s="3"/>
      <c r="L53" s="8">
        <f t="shared" si="22"/>
        <v>-613.22000000000025</v>
      </c>
      <c r="M53" s="3"/>
      <c r="N53" s="7">
        <f t="shared" si="23"/>
        <v>-0.27618541471499614</v>
      </c>
      <c r="O53" s="12"/>
      <c r="P53" s="8">
        <v>1607.1</v>
      </c>
      <c r="Q53" s="3"/>
      <c r="R53" s="7">
        <f t="shared" si="24"/>
        <v>2.8595271309001878E-2</v>
      </c>
      <c r="S53" s="3"/>
      <c r="T53" s="8">
        <v>2220.3200000000002</v>
      </c>
      <c r="U53" s="3"/>
      <c r="V53" s="7">
        <f t="shared" si="25"/>
        <v>5.4501199344508887E-2</v>
      </c>
      <c r="W53" s="3"/>
      <c r="X53" s="8">
        <f t="shared" si="26"/>
        <v>-613.22000000000025</v>
      </c>
      <c r="Y53" s="3"/>
      <c r="Z53" s="7">
        <f t="shared" si="27"/>
        <v>-0.27618541471499614</v>
      </c>
    </row>
    <row r="54" spans="1:26" s="24" customFormat="1" hidden="1" outlineLevel="2" x14ac:dyDescent="0.3">
      <c r="A54" s="27"/>
      <c r="B54" s="12" t="str">
        <f>CONCATENATE("          ", "6117", " - ", "RETIREMENT STAFF HOURLY")</f>
        <v xml:space="preserve">          6117 - RETIREMENT STAFF HOURLY</v>
      </c>
      <c r="C54" s="12"/>
      <c r="D54" s="8">
        <v>253.61</v>
      </c>
      <c r="E54" s="3"/>
      <c r="F54" s="7">
        <f t="shared" si="20"/>
        <v>4.5125049820645682E-3</v>
      </c>
      <c r="G54" s="3"/>
      <c r="H54" s="8">
        <v>333.14</v>
      </c>
      <c r="I54" s="3"/>
      <c r="J54" s="7">
        <f t="shared" si="21"/>
        <v>8.1774381844192216E-3</v>
      </c>
      <c r="K54" s="3"/>
      <c r="L54" s="8">
        <f t="shared" si="22"/>
        <v>-79.529999999999973</v>
      </c>
      <c r="M54" s="3"/>
      <c r="N54" s="7">
        <f t="shared" si="23"/>
        <v>-0.23872846250825472</v>
      </c>
      <c r="O54" s="12"/>
      <c r="P54" s="8">
        <v>253.61</v>
      </c>
      <c r="Q54" s="3"/>
      <c r="R54" s="7">
        <f t="shared" si="24"/>
        <v>4.5125049820645682E-3</v>
      </c>
      <c r="S54" s="3"/>
      <c r="T54" s="8">
        <v>333.14</v>
      </c>
      <c r="U54" s="3"/>
      <c r="V54" s="7">
        <f t="shared" si="25"/>
        <v>8.1774381844192216E-3</v>
      </c>
      <c r="W54" s="3"/>
      <c r="X54" s="8">
        <f t="shared" si="26"/>
        <v>-79.529999999999973</v>
      </c>
      <c r="Y54" s="3"/>
      <c r="Z54" s="7">
        <f t="shared" si="27"/>
        <v>-0.23872846250825472</v>
      </c>
    </row>
    <row r="55" spans="1:26" s="24" customFormat="1" hidden="1" outlineLevel="2" x14ac:dyDescent="0.3">
      <c r="A55" s="27"/>
      <c r="B55" s="12" t="str">
        <f>CONCATENATE("          ", "6118", " - ", "VACATION")</f>
        <v xml:space="preserve">          6118 - VACATION</v>
      </c>
      <c r="C55" s="12"/>
      <c r="D55" s="8">
        <v>1357.34</v>
      </c>
      <c r="E55" s="3"/>
      <c r="F55" s="7">
        <f t="shared" si="20"/>
        <v>2.4151269714741217E-2</v>
      </c>
      <c r="G55" s="3"/>
      <c r="H55" s="8">
        <v>967.81</v>
      </c>
      <c r="I55" s="3"/>
      <c r="J55" s="7">
        <f t="shared" si="21"/>
        <v>2.3756398058662326E-2</v>
      </c>
      <c r="K55" s="3"/>
      <c r="L55" s="8">
        <f t="shared" si="22"/>
        <v>389.53</v>
      </c>
      <c r="M55" s="3"/>
      <c r="N55" s="7">
        <f t="shared" si="23"/>
        <v>0.4024860251495645</v>
      </c>
      <c r="O55" s="12"/>
      <c r="P55" s="8">
        <v>1357.34</v>
      </c>
      <c r="Q55" s="3"/>
      <c r="R55" s="7">
        <f t="shared" si="24"/>
        <v>2.4151269714741217E-2</v>
      </c>
      <c r="S55" s="3"/>
      <c r="T55" s="8">
        <v>967.81</v>
      </c>
      <c r="U55" s="3"/>
      <c r="V55" s="7">
        <f t="shared" si="25"/>
        <v>2.3756398058662326E-2</v>
      </c>
      <c r="W55" s="3"/>
      <c r="X55" s="8">
        <f t="shared" si="26"/>
        <v>389.53</v>
      </c>
      <c r="Y55" s="3"/>
      <c r="Z55" s="7">
        <f t="shared" si="27"/>
        <v>0.4024860251495645</v>
      </c>
    </row>
    <row r="56" spans="1:26" s="24" customFormat="1" hidden="1" outlineLevel="2" x14ac:dyDescent="0.3">
      <c r="A56" s="27"/>
      <c r="B56" s="12" t="str">
        <f>CONCATENATE("          ", "6119", " - ", "SICK LEAVE")</f>
        <v xml:space="preserve">          6119 - SICK LEAVE</v>
      </c>
      <c r="C56" s="12"/>
      <c r="D56" s="8">
        <v>1071.9000000000001</v>
      </c>
      <c r="E56" s="3"/>
      <c r="F56" s="7">
        <f t="shared" si="20"/>
        <v>1.9072410749871892E-2</v>
      </c>
      <c r="G56" s="3"/>
      <c r="H56" s="8">
        <v>944.6</v>
      </c>
      <c r="I56" s="3"/>
      <c r="J56" s="7">
        <f t="shared" si="21"/>
        <v>2.318667259711352E-2</v>
      </c>
      <c r="K56" s="3"/>
      <c r="L56" s="8">
        <f t="shared" si="22"/>
        <v>127.30000000000007</v>
      </c>
      <c r="M56" s="3"/>
      <c r="N56" s="7">
        <f t="shared" si="23"/>
        <v>0.13476603853482963</v>
      </c>
      <c r="O56" s="12"/>
      <c r="P56" s="8">
        <v>1071.9000000000001</v>
      </c>
      <c r="Q56" s="3"/>
      <c r="R56" s="7">
        <f t="shared" si="24"/>
        <v>1.9072410749871892E-2</v>
      </c>
      <c r="S56" s="3"/>
      <c r="T56" s="8">
        <v>944.6</v>
      </c>
      <c r="U56" s="3"/>
      <c r="V56" s="7">
        <f t="shared" si="25"/>
        <v>2.318667259711352E-2</v>
      </c>
      <c r="W56" s="3"/>
      <c r="X56" s="8">
        <f t="shared" si="26"/>
        <v>127.30000000000007</v>
      </c>
      <c r="Y56" s="3"/>
      <c r="Z56" s="7">
        <f t="shared" si="27"/>
        <v>0.13476603853482963</v>
      </c>
    </row>
    <row r="57" spans="1:26" s="24" customFormat="1" hidden="1" outlineLevel="2" x14ac:dyDescent="0.3">
      <c r="A57" s="27"/>
      <c r="B57" s="12" t="str">
        <f>CONCATENATE("          ", "6156", " - ", "EMPLOYEE MEALS")</f>
        <v xml:space="preserve">          6156 - EMPLOYEE MEALS</v>
      </c>
      <c r="C57" s="12"/>
      <c r="D57" s="8">
        <v>358.43</v>
      </c>
      <c r="E57" s="3"/>
      <c r="F57" s="7">
        <f t="shared" si="20"/>
        <v>6.3775764391049367E-3</v>
      </c>
      <c r="G57" s="3"/>
      <c r="H57" s="8">
        <v>429.05</v>
      </c>
      <c r="I57" s="3"/>
      <c r="J57" s="7">
        <f t="shared" si="21"/>
        <v>1.0531697943882654E-2</v>
      </c>
      <c r="K57" s="3"/>
      <c r="L57" s="8">
        <f t="shared" si="22"/>
        <v>-70.62</v>
      </c>
      <c r="M57" s="3"/>
      <c r="N57" s="7">
        <f t="shared" si="23"/>
        <v>-0.16459620090898497</v>
      </c>
      <c r="O57" s="12"/>
      <c r="P57" s="8">
        <v>358.43</v>
      </c>
      <c r="Q57" s="3"/>
      <c r="R57" s="7">
        <f t="shared" si="24"/>
        <v>6.3775764391049367E-3</v>
      </c>
      <c r="S57" s="3"/>
      <c r="T57" s="8">
        <v>429.05</v>
      </c>
      <c r="U57" s="3"/>
      <c r="V57" s="7">
        <f t="shared" si="25"/>
        <v>1.0531697943882654E-2</v>
      </c>
      <c r="W57" s="3"/>
      <c r="X57" s="8">
        <f t="shared" si="26"/>
        <v>-70.62</v>
      </c>
      <c r="Y57" s="3"/>
      <c r="Z57" s="7">
        <f t="shared" si="27"/>
        <v>-0.16459620090898497</v>
      </c>
    </row>
    <row r="58" spans="1:26" s="29" customFormat="1" outlineLevel="1" collapsed="1" x14ac:dyDescent="0.3">
      <c r="A58" s="28"/>
      <c r="B58" s="14" t="str">
        <f>CONCATENATE("     ","*Payroll                                          ")</f>
        <v xml:space="preserve">     *Payroll                                          </v>
      </c>
      <c r="C58" s="14"/>
      <c r="D58" s="1">
        <f>SUM(OSRRefD22_1x_0)</f>
        <v>32421.75</v>
      </c>
      <c r="E58" s="1"/>
      <c r="F58" s="5">
        <f t="shared" ref="F58:F64" si="28">IF(D$12=0,0,D58/D$12)</f>
        <v>0.57688304247565902</v>
      </c>
      <c r="G58" s="1"/>
      <c r="H58" s="1">
        <f>SUM(OSRRefH22_1x_0)</f>
        <v>29301.230000000003</v>
      </c>
      <c r="I58" s="1"/>
      <c r="J58" s="5">
        <f t="shared" ref="J58:J64" si="29">IF(H$12=0,0,H58/H$12)</f>
        <v>0.71924415276595455</v>
      </c>
      <c r="K58" s="1"/>
      <c r="L58" s="1">
        <f t="shared" ref="L58:L64" si="30">+D58-H58</f>
        <v>3120.5199999999968</v>
      </c>
      <c r="M58" s="1"/>
      <c r="N58" s="5">
        <f t="shared" ref="N58:N64" si="31">IF(H58=0,0,L58/H58)</f>
        <v>0.10649791834677236</v>
      </c>
      <c r="O58" s="14"/>
      <c r="P58" s="1">
        <f>SUM(OSRRefP22_1x_0)</f>
        <v>32421.75</v>
      </c>
      <c r="Q58" s="1"/>
      <c r="R58" s="5">
        <f t="shared" ref="R58:R64" si="32">IF(P$12=0,0,P58/P$12)</f>
        <v>0.57688304247565902</v>
      </c>
      <c r="S58" s="1"/>
      <c r="T58" s="1">
        <f>SUM(OSRRefT22_1x_0)</f>
        <v>29301.230000000003</v>
      </c>
      <c r="U58" s="1"/>
      <c r="V58" s="5">
        <f t="shared" ref="V58:V64" si="33">IF(T$12=0,0,T58/T$12)</f>
        <v>0.71924415276595455</v>
      </c>
      <c r="W58" s="1"/>
      <c r="X58" s="1">
        <f t="shared" ref="X58:X64" si="34">+P58-T58</f>
        <v>3120.5199999999968</v>
      </c>
      <c r="Y58" s="1"/>
      <c r="Z58" s="5">
        <f t="shared" ref="Z58:Z64" si="35">IF(T58=0,0,X58/T58)</f>
        <v>0.10649791834677236</v>
      </c>
    </row>
    <row r="59" spans="1:26" s="24" customFormat="1" hidden="1" outlineLevel="2" x14ac:dyDescent="0.3">
      <c r="A59" s="27"/>
      <c r="B59" s="12" t="str">
        <f>CONCATENATE("          ", "6001", " - ", "ADMINISTRATIVE SALARIES")</f>
        <v xml:space="preserve">          6001 - ADMINISTRATIVE SALARIES</v>
      </c>
      <c r="C59" s="12"/>
      <c r="D59" s="8"/>
      <c r="E59" s="3"/>
      <c r="F59" s="7">
        <f t="shared" si="28"/>
        <v>0</v>
      </c>
      <c r="G59" s="3"/>
      <c r="H59" s="8">
        <v>-311.32</v>
      </c>
      <c r="I59" s="3"/>
      <c r="J59" s="7">
        <f t="shared" si="29"/>
        <v>-7.6418324295293039E-3</v>
      </c>
      <c r="K59" s="3"/>
      <c r="L59" s="8">
        <f t="shared" si="30"/>
        <v>311.32</v>
      </c>
      <c r="M59" s="3"/>
      <c r="N59" s="7">
        <f t="shared" si="31"/>
        <v>-1</v>
      </c>
      <c r="O59" s="12"/>
      <c r="P59" s="8"/>
      <c r="Q59" s="3"/>
      <c r="R59" s="7">
        <f t="shared" si="32"/>
        <v>0</v>
      </c>
      <c r="S59" s="3"/>
      <c r="T59" s="8">
        <v>-311.32</v>
      </c>
      <c r="U59" s="3"/>
      <c r="V59" s="7">
        <f t="shared" si="33"/>
        <v>-7.6418324295293039E-3</v>
      </c>
      <c r="W59" s="3"/>
      <c r="X59" s="8">
        <f t="shared" si="34"/>
        <v>311.32</v>
      </c>
      <c r="Y59" s="3"/>
      <c r="Z59" s="7">
        <f t="shared" si="35"/>
        <v>-1</v>
      </c>
    </row>
    <row r="60" spans="1:26" s="24" customFormat="1" hidden="1" outlineLevel="2" x14ac:dyDescent="0.3">
      <c r="A60" s="27"/>
      <c r="B60" s="12" t="str">
        <f>CONCATENATE("          ", "6002", " - ", "STAFF SALARIES")</f>
        <v xml:space="preserve">          6002 - STAFF SALARIES</v>
      </c>
      <c r="C60" s="12"/>
      <c r="D60" s="8">
        <v>19061.23</v>
      </c>
      <c r="E60" s="3"/>
      <c r="F60" s="7">
        <f t="shared" si="28"/>
        <v>0.33915813784660936</v>
      </c>
      <c r="G60" s="3"/>
      <c r="H60" s="8">
        <v>18429.759999999998</v>
      </c>
      <c r="I60" s="3"/>
      <c r="J60" s="7">
        <f t="shared" si="29"/>
        <v>0.45238705395233836</v>
      </c>
      <c r="K60" s="3"/>
      <c r="L60" s="8">
        <f t="shared" si="30"/>
        <v>631.47000000000116</v>
      </c>
      <c r="M60" s="3"/>
      <c r="N60" s="7">
        <f t="shared" si="31"/>
        <v>3.4263604083829696E-2</v>
      </c>
      <c r="O60" s="12"/>
      <c r="P60" s="8">
        <v>19061.23</v>
      </c>
      <c r="Q60" s="3"/>
      <c r="R60" s="7">
        <f t="shared" si="32"/>
        <v>0.33915813784660936</v>
      </c>
      <c r="S60" s="3"/>
      <c r="T60" s="8">
        <v>18429.759999999998</v>
      </c>
      <c r="U60" s="3"/>
      <c r="V60" s="7">
        <f t="shared" si="33"/>
        <v>0.45238705395233836</v>
      </c>
      <c r="W60" s="3"/>
      <c r="X60" s="8">
        <f t="shared" si="34"/>
        <v>631.47000000000116</v>
      </c>
      <c r="Y60" s="3"/>
      <c r="Z60" s="7">
        <f t="shared" si="35"/>
        <v>3.4263604083829696E-2</v>
      </c>
    </row>
    <row r="61" spans="1:26" s="24" customFormat="1" hidden="1" outlineLevel="2" x14ac:dyDescent="0.3">
      <c r="A61" s="27"/>
      <c r="B61" s="12" t="str">
        <f>CONCATENATE("          ", "6004", " - ", "STAFF HOURLY")</f>
        <v xml:space="preserve">          6004 - STAFF HOURLY</v>
      </c>
      <c r="C61" s="12"/>
      <c r="D61" s="8">
        <v>6184.05</v>
      </c>
      <c r="E61" s="3"/>
      <c r="F61" s="7">
        <f t="shared" si="28"/>
        <v>0.11003334424642715</v>
      </c>
      <c r="G61" s="3"/>
      <c r="H61" s="8">
        <v>5507.97</v>
      </c>
      <c r="I61" s="3"/>
      <c r="J61" s="7">
        <f t="shared" si="29"/>
        <v>0.13520166955825041</v>
      </c>
      <c r="K61" s="3"/>
      <c r="L61" s="8">
        <f t="shared" si="30"/>
        <v>676.07999999999993</v>
      </c>
      <c r="M61" s="3"/>
      <c r="N61" s="7">
        <f t="shared" si="31"/>
        <v>0.12274576658914263</v>
      </c>
      <c r="O61" s="12"/>
      <c r="P61" s="8">
        <v>6184.05</v>
      </c>
      <c r="Q61" s="3"/>
      <c r="R61" s="7">
        <f t="shared" si="32"/>
        <v>0.11003334424642715</v>
      </c>
      <c r="S61" s="3"/>
      <c r="T61" s="8">
        <v>5507.97</v>
      </c>
      <c r="U61" s="3"/>
      <c r="V61" s="7">
        <f t="shared" si="33"/>
        <v>0.13520166955825041</v>
      </c>
      <c r="W61" s="3"/>
      <c r="X61" s="8">
        <f t="shared" si="34"/>
        <v>676.07999999999993</v>
      </c>
      <c r="Y61" s="3"/>
      <c r="Z61" s="7">
        <f t="shared" si="35"/>
        <v>0.12274576658914263</v>
      </c>
    </row>
    <row r="62" spans="1:26" s="24" customFormat="1" hidden="1" outlineLevel="2" x14ac:dyDescent="0.3">
      <c r="A62" s="27"/>
      <c r="B62" s="12" t="str">
        <f>CONCATENATE("          ", "6005", " - ", "TEMPORARY WAGES-HOURLY")</f>
        <v xml:space="preserve">          6005 - TEMPORARY WAGES-HOURLY</v>
      </c>
      <c r="C62" s="12"/>
      <c r="D62" s="8">
        <v>3877.79</v>
      </c>
      <c r="E62" s="3"/>
      <c r="F62" s="7">
        <f t="shared" si="28"/>
        <v>6.8997857712235947E-2</v>
      </c>
      <c r="G62" s="3"/>
      <c r="H62" s="8">
        <v>1986.02</v>
      </c>
      <c r="I62" s="3"/>
      <c r="J62" s="7">
        <f t="shared" si="29"/>
        <v>4.8749942315603846E-2</v>
      </c>
      <c r="K62" s="3"/>
      <c r="L62" s="8">
        <f t="shared" si="30"/>
        <v>1891.77</v>
      </c>
      <c r="M62" s="3"/>
      <c r="N62" s="7">
        <f t="shared" si="31"/>
        <v>0.95254327750979351</v>
      </c>
      <c r="O62" s="12"/>
      <c r="P62" s="8">
        <v>3877.79</v>
      </c>
      <c r="Q62" s="3"/>
      <c r="R62" s="7">
        <f t="shared" si="32"/>
        <v>6.8997857712235947E-2</v>
      </c>
      <c r="S62" s="3"/>
      <c r="T62" s="8">
        <v>1986.02</v>
      </c>
      <c r="U62" s="3"/>
      <c r="V62" s="7">
        <f t="shared" si="33"/>
        <v>4.8749942315603846E-2</v>
      </c>
      <c r="W62" s="3"/>
      <c r="X62" s="8">
        <f t="shared" si="34"/>
        <v>1891.77</v>
      </c>
      <c r="Y62" s="3"/>
      <c r="Z62" s="7">
        <f t="shared" si="35"/>
        <v>0.95254327750979351</v>
      </c>
    </row>
    <row r="63" spans="1:26" s="24" customFormat="1" hidden="1" outlineLevel="2" x14ac:dyDescent="0.3">
      <c r="A63" s="27"/>
      <c r="B63" s="12" t="str">
        <f>CONCATENATE("          ", "6006", " - ", "TEMPORARY PART TIME")</f>
        <v xml:space="preserve">          6006 - TEMPORARY PART TIME</v>
      </c>
      <c r="C63" s="12"/>
      <c r="D63" s="8"/>
      <c r="E63" s="3"/>
      <c r="F63" s="7">
        <f t="shared" si="28"/>
        <v>0</v>
      </c>
      <c r="G63" s="3"/>
      <c r="H63" s="8">
        <v>502.29</v>
      </c>
      <c r="I63" s="3"/>
      <c r="J63" s="7">
        <f t="shared" si="29"/>
        <v>1.2329487379635982E-2</v>
      </c>
      <c r="K63" s="3"/>
      <c r="L63" s="8">
        <f t="shared" si="30"/>
        <v>-502.29</v>
      </c>
      <c r="M63" s="3"/>
      <c r="N63" s="7">
        <f t="shared" si="31"/>
        <v>-1</v>
      </c>
      <c r="O63" s="12"/>
      <c r="P63" s="8"/>
      <c r="Q63" s="3"/>
      <c r="R63" s="7">
        <f t="shared" si="32"/>
        <v>0</v>
      </c>
      <c r="S63" s="3"/>
      <c r="T63" s="8">
        <v>502.29</v>
      </c>
      <c r="U63" s="3"/>
      <c r="V63" s="7">
        <f t="shared" si="33"/>
        <v>1.2329487379635982E-2</v>
      </c>
      <c r="W63" s="3"/>
      <c r="X63" s="8">
        <f t="shared" si="34"/>
        <v>-502.29</v>
      </c>
      <c r="Y63" s="3"/>
      <c r="Z63" s="7">
        <f t="shared" si="35"/>
        <v>-1</v>
      </c>
    </row>
    <row r="64" spans="1:26" s="24" customFormat="1" hidden="1" outlineLevel="2" x14ac:dyDescent="0.3">
      <c r="A64" s="27"/>
      <c r="B64" s="12" t="str">
        <f>CONCATENATE("          ", "6007", " - ", "STUDENT HOURLY")</f>
        <v xml:space="preserve">          6007 - STUDENT HOURLY</v>
      </c>
      <c r="C64" s="12"/>
      <c r="D64" s="8">
        <v>3298.68</v>
      </c>
      <c r="E64" s="3"/>
      <c r="F64" s="7">
        <f t="shared" si="28"/>
        <v>5.8693702670386608E-2</v>
      </c>
      <c r="G64" s="3"/>
      <c r="H64" s="8">
        <v>3186.51</v>
      </c>
      <c r="I64" s="3"/>
      <c r="J64" s="7">
        <f t="shared" si="29"/>
        <v>7.8217831989655096E-2</v>
      </c>
      <c r="K64" s="3"/>
      <c r="L64" s="8">
        <f t="shared" si="30"/>
        <v>112.16999999999962</v>
      </c>
      <c r="M64" s="3"/>
      <c r="N64" s="7">
        <f t="shared" si="31"/>
        <v>3.5201521413709545E-2</v>
      </c>
      <c r="O64" s="12"/>
      <c r="P64" s="8">
        <v>3298.68</v>
      </c>
      <c r="Q64" s="3"/>
      <c r="R64" s="7">
        <f t="shared" si="32"/>
        <v>5.8693702670386608E-2</v>
      </c>
      <c r="S64" s="3"/>
      <c r="T64" s="8">
        <v>3186.51</v>
      </c>
      <c r="U64" s="3"/>
      <c r="V64" s="7">
        <f t="shared" si="33"/>
        <v>7.8217831989655096E-2</v>
      </c>
      <c r="W64" s="3"/>
      <c r="X64" s="8">
        <f t="shared" si="34"/>
        <v>112.16999999999962</v>
      </c>
      <c r="Y64" s="3"/>
      <c r="Z64" s="7">
        <f t="shared" si="35"/>
        <v>3.5201521413709545E-2</v>
      </c>
    </row>
    <row r="65" spans="1:26" s="29" customFormat="1" outlineLevel="1" collapsed="1" x14ac:dyDescent="0.3">
      <c r="A65" s="28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SUM(OSRRefD22_2x_0)</f>
        <v>0</v>
      </c>
      <c r="E65" s="1"/>
      <c r="F65" s="5">
        <f t="shared" ref="F65:F81" si="36">IF(D$12=0,0,D65/D$12)</f>
        <v>0</v>
      </c>
      <c r="G65" s="1"/>
      <c r="H65" s="1">
        <f>SUM(OSRRefH22_2x_0)</f>
        <v>1249.9000000000001</v>
      </c>
      <c r="I65" s="1"/>
      <c r="J65" s="5">
        <f t="shared" ref="J65:J81" si="37">IF(H$12=0,0,H65/H$12)</f>
        <v>3.068073478629281E-2</v>
      </c>
      <c r="K65" s="1"/>
      <c r="L65" s="1">
        <f t="shared" ref="L65:L81" si="38">+D65-H65</f>
        <v>-1249.9000000000001</v>
      </c>
      <c r="M65" s="1"/>
      <c r="N65" s="5">
        <f t="shared" ref="N65:N81" si="39">IF(H65=0,0,L65/H65)</f>
        <v>-1</v>
      </c>
      <c r="O65" s="14"/>
      <c r="P65" s="1">
        <f>SUM(OSRRefP22_2x_0)</f>
        <v>0</v>
      </c>
      <c r="Q65" s="1"/>
      <c r="R65" s="5">
        <f t="shared" ref="R65:R81" si="40">IF(P$12=0,0,P65/P$12)</f>
        <v>0</v>
      </c>
      <c r="S65" s="1"/>
      <c r="T65" s="1">
        <f>SUM(OSRRefT22_2x_0)</f>
        <v>1249.9000000000001</v>
      </c>
      <c r="U65" s="1"/>
      <c r="V65" s="5">
        <f t="shared" ref="V65:V81" si="41">IF(T$12=0,0,T65/T$12)</f>
        <v>3.068073478629281E-2</v>
      </c>
      <c r="W65" s="1"/>
      <c r="X65" s="1">
        <f t="shared" ref="X65:X81" si="42">+P65-T65</f>
        <v>-1249.9000000000001</v>
      </c>
      <c r="Y65" s="1"/>
      <c r="Z65" s="5">
        <f t="shared" ref="Z65:Z81" si="43">IF(T65=0,0,X65/T65)</f>
        <v>-1</v>
      </c>
    </row>
    <row r="66" spans="1:26" s="24" customFormat="1" hidden="1" outlineLevel="2" x14ac:dyDescent="0.3">
      <c r="A66" s="27"/>
      <c r="B66" s="12" t="str">
        <f>CONCATENATE("          ", "6362", " - ", "ADVERTISING EXPENSE")</f>
        <v xml:space="preserve">          6362 - ADVERTISING EXPENSE</v>
      </c>
      <c r="C66" s="12"/>
      <c r="D66" s="8"/>
      <c r="E66" s="3"/>
      <c r="F66" s="7">
        <f t="shared" si="36"/>
        <v>0</v>
      </c>
      <c r="G66" s="3"/>
      <c r="H66" s="8">
        <v>1249.9000000000001</v>
      </c>
      <c r="I66" s="3"/>
      <c r="J66" s="7">
        <f t="shared" si="37"/>
        <v>3.068073478629281E-2</v>
      </c>
      <c r="K66" s="3"/>
      <c r="L66" s="8">
        <f t="shared" si="38"/>
        <v>-1249.9000000000001</v>
      </c>
      <c r="M66" s="3"/>
      <c r="N66" s="7">
        <f t="shared" si="39"/>
        <v>-1</v>
      </c>
      <c r="O66" s="12"/>
      <c r="P66" s="8"/>
      <c r="Q66" s="3"/>
      <c r="R66" s="7">
        <f t="shared" si="40"/>
        <v>0</v>
      </c>
      <c r="S66" s="3"/>
      <c r="T66" s="8">
        <v>1249.9000000000001</v>
      </c>
      <c r="U66" s="3"/>
      <c r="V66" s="7">
        <f t="shared" si="41"/>
        <v>3.068073478629281E-2</v>
      </c>
      <c r="W66" s="3"/>
      <c r="X66" s="8">
        <f t="shared" si="42"/>
        <v>-1249.9000000000001</v>
      </c>
      <c r="Y66" s="3"/>
      <c r="Z66" s="7">
        <f t="shared" si="43"/>
        <v>-1</v>
      </c>
    </row>
    <row r="67" spans="1:26" s="29" customFormat="1" outlineLevel="1" collapsed="1" x14ac:dyDescent="0.3">
      <c r="A67" s="28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SUM(OSRRefD22_3x_0)</f>
        <v>0</v>
      </c>
      <c r="E67" s="1"/>
      <c r="F67" s="5">
        <f t="shared" si="36"/>
        <v>0</v>
      </c>
      <c r="G67" s="1"/>
      <c r="H67" s="1">
        <f>SUM(OSRRefH22_3x_0)</f>
        <v>0</v>
      </c>
      <c r="I67" s="1"/>
      <c r="J67" s="5">
        <f t="shared" si="37"/>
        <v>0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SUM(OSRRefP22_3x_0)</f>
        <v>0</v>
      </c>
      <c r="Q67" s="1"/>
      <c r="R67" s="5">
        <f t="shared" si="40"/>
        <v>0</v>
      </c>
      <c r="S67" s="1"/>
      <c r="T67" s="1">
        <f>SUM(OSRRefT22_3x_0)</f>
        <v>0</v>
      </c>
      <c r="U67" s="1"/>
      <c r="V67" s="5">
        <f t="shared" si="41"/>
        <v>0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3">
      <c r="A68" s="27"/>
      <c r="B68" s="12" t="str">
        <f>CONCATENATE("          ", "6382", " - ", "DISCOUNTS/MARK DOWNS")</f>
        <v xml:space="preserve">          6382 - DISCOUNTS/MARK DOWNS</v>
      </c>
      <c r="C68" s="12"/>
      <c r="D68" s="8"/>
      <c r="E68" s="3"/>
      <c r="F68" s="7">
        <f t="shared" si="36"/>
        <v>0</v>
      </c>
      <c r="G68" s="3"/>
      <c r="H68" s="8">
        <v>0</v>
      </c>
      <c r="I68" s="3"/>
      <c r="J68" s="7">
        <f t="shared" si="37"/>
        <v>0</v>
      </c>
      <c r="K68" s="3"/>
      <c r="L68" s="8">
        <f t="shared" si="38"/>
        <v>0</v>
      </c>
      <c r="M68" s="3"/>
      <c r="N68" s="7">
        <f t="shared" si="39"/>
        <v>0</v>
      </c>
      <c r="O68" s="12"/>
      <c r="P68" s="8"/>
      <c r="Q68" s="3"/>
      <c r="R68" s="7">
        <f t="shared" si="40"/>
        <v>0</v>
      </c>
      <c r="S68" s="3"/>
      <c r="T68" s="8">
        <v>0</v>
      </c>
      <c r="U68" s="3"/>
      <c r="V68" s="7">
        <f t="shared" si="41"/>
        <v>0</v>
      </c>
      <c r="W68" s="3"/>
      <c r="X68" s="8">
        <f t="shared" si="42"/>
        <v>0</v>
      </c>
      <c r="Y68" s="3"/>
      <c r="Z68" s="7">
        <f t="shared" si="43"/>
        <v>0</v>
      </c>
    </row>
    <row r="69" spans="1:26" s="29" customFormat="1" outlineLevel="1" collapsed="1" x14ac:dyDescent="0.3">
      <c r="A69" s="28"/>
      <c r="B69" s="14" t="str">
        <f>CONCATENATE("     ","Employees' Appreciation                           ")</f>
        <v xml:space="preserve">     Employees' Appreciation                           </v>
      </c>
      <c r="C69" s="14"/>
      <c r="D69" s="1">
        <f>SUM(OSRRefD22_4x_0)</f>
        <v>0</v>
      </c>
      <c r="E69" s="1"/>
      <c r="F69" s="5">
        <f t="shared" si="36"/>
        <v>0</v>
      </c>
      <c r="G69" s="1"/>
      <c r="H69" s="1">
        <f>SUM(OSRRefH22_4x_0)</f>
        <v>107.7</v>
      </c>
      <c r="I69" s="1"/>
      <c r="J69" s="5">
        <f t="shared" si="37"/>
        <v>2.6436636022751704E-3</v>
      </c>
      <c r="K69" s="1"/>
      <c r="L69" s="1">
        <f t="shared" si="38"/>
        <v>-107.7</v>
      </c>
      <c r="M69" s="1"/>
      <c r="N69" s="5">
        <f t="shared" si="39"/>
        <v>-1</v>
      </c>
      <c r="O69" s="14"/>
      <c r="P69" s="1">
        <f>SUM(OSRRefP22_4x_0)</f>
        <v>0</v>
      </c>
      <c r="Q69" s="1"/>
      <c r="R69" s="5">
        <f t="shared" si="40"/>
        <v>0</v>
      </c>
      <c r="S69" s="1"/>
      <c r="T69" s="1">
        <f>SUM(OSRRefT22_4x_0)</f>
        <v>107.7</v>
      </c>
      <c r="U69" s="1"/>
      <c r="V69" s="5">
        <f t="shared" si="41"/>
        <v>2.6436636022751704E-3</v>
      </c>
      <c r="W69" s="1"/>
      <c r="X69" s="1">
        <f t="shared" si="42"/>
        <v>-107.7</v>
      </c>
      <c r="Y69" s="1"/>
      <c r="Z69" s="5">
        <f t="shared" si="43"/>
        <v>-1</v>
      </c>
    </row>
    <row r="70" spans="1:26" s="24" customFormat="1" hidden="1" outlineLevel="2" x14ac:dyDescent="0.3">
      <c r="A70" s="27"/>
      <c r="B70" s="12" t="str">
        <f>CONCATENATE("          ", "6277", " - ", "EMPLOYEE APPRECIATION")</f>
        <v xml:space="preserve">          6277 - EMPLOYEE APPRECIATION</v>
      </c>
      <c r="C70" s="12"/>
      <c r="D70" s="8"/>
      <c r="E70" s="3"/>
      <c r="F70" s="7">
        <f t="shared" si="36"/>
        <v>0</v>
      </c>
      <c r="G70" s="3"/>
      <c r="H70" s="8">
        <v>107.7</v>
      </c>
      <c r="I70" s="3"/>
      <c r="J70" s="7">
        <f t="shared" si="37"/>
        <v>2.6436636022751704E-3</v>
      </c>
      <c r="K70" s="3"/>
      <c r="L70" s="8">
        <f t="shared" si="38"/>
        <v>-107.7</v>
      </c>
      <c r="M70" s="3"/>
      <c r="N70" s="7">
        <f t="shared" si="39"/>
        <v>-1</v>
      </c>
      <c r="O70" s="12"/>
      <c r="P70" s="8"/>
      <c r="Q70" s="3"/>
      <c r="R70" s="7">
        <f t="shared" si="40"/>
        <v>0</v>
      </c>
      <c r="S70" s="3"/>
      <c r="T70" s="8">
        <v>107.7</v>
      </c>
      <c r="U70" s="3"/>
      <c r="V70" s="7">
        <f t="shared" si="41"/>
        <v>2.6436636022751704E-3</v>
      </c>
      <c r="W70" s="3"/>
      <c r="X70" s="8">
        <f t="shared" si="42"/>
        <v>-107.7</v>
      </c>
      <c r="Y70" s="3"/>
      <c r="Z70" s="7">
        <f t="shared" si="43"/>
        <v>-1</v>
      </c>
    </row>
    <row r="71" spans="1:26" s="29" customFormat="1" outlineLevel="1" collapsed="1" x14ac:dyDescent="0.3">
      <c r="A71" s="28"/>
      <c r="B71" s="14" t="str">
        <f>CONCATENATE("     ","Equipment Rental                                  ")</f>
        <v xml:space="preserve">     Equipment Rental                                  </v>
      </c>
      <c r="C71" s="14"/>
      <c r="D71" s="1">
        <f>SUM(OSRRefD22_5x_0)</f>
        <v>91.26</v>
      </c>
      <c r="E71" s="1"/>
      <c r="F71" s="5">
        <f t="shared" si="36"/>
        <v>1.6237971872686901E-3</v>
      </c>
      <c r="G71" s="1"/>
      <c r="H71" s="1">
        <f>SUM(OSRRefH22_5x_0)</f>
        <v>91.26</v>
      </c>
      <c r="I71" s="1"/>
      <c r="J71" s="5">
        <f t="shared" si="37"/>
        <v>2.240118294741245E-3</v>
      </c>
      <c r="K71" s="1"/>
      <c r="L71" s="1">
        <f t="shared" si="38"/>
        <v>0</v>
      </c>
      <c r="M71" s="1"/>
      <c r="N71" s="5">
        <f t="shared" si="39"/>
        <v>0</v>
      </c>
      <c r="O71" s="14"/>
      <c r="P71" s="1">
        <f>SUM(OSRRefP22_5x_0)</f>
        <v>91.26</v>
      </c>
      <c r="Q71" s="1"/>
      <c r="R71" s="5">
        <f t="shared" si="40"/>
        <v>1.6237971872686901E-3</v>
      </c>
      <c r="S71" s="1"/>
      <c r="T71" s="1">
        <f>SUM(OSRRefT22_5x_0)</f>
        <v>91.26</v>
      </c>
      <c r="U71" s="1"/>
      <c r="V71" s="5">
        <f t="shared" si="41"/>
        <v>2.240118294741245E-3</v>
      </c>
      <c r="W71" s="1"/>
      <c r="X71" s="1">
        <f t="shared" si="42"/>
        <v>0</v>
      </c>
      <c r="Y71" s="1"/>
      <c r="Z71" s="5">
        <f t="shared" si="43"/>
        <v>0</v>
      </c>
    </row>
    <row r="72" spans="1:26" s="24" customFormat="1" hidden="1" outlineLevel="2" x14ac:dyDescent="0.3">
      <c r="A72" s="27"/>
      <c r="B72" s="12" t="str">
        <f>CONCATENATE("          ", "6351", " - ", "EQUIPMENT RENTAL")</f>
        <v xml:space="preserve">          6351 - EQUIPMENT RENTAL</v>
      </c>
      <c r="C72" s="12"/>
      <c r="D72" s="8">
        <v>91.26</v>
      </c>
      <c r="E72" s="3"/>
      <c r="F72" s="7">
        <f t="shared" si="36"/>
        <v>1.6237971872686901E-3</v>
      </c>
      <c r="G72" s="3"/>
      <c r="H72" s="8">
        <v>91.26</v>
      </c>
      <c r="I72" s="3"/>
      <c r="J72" s="7">
        <f t="shared" si="37"/>
        <v>2.240118294741245E-3</v>
      </c>
      <c r="K72" s="3"/>
      <c r="L72" s="8">
        <f t="shared" si="38"/>
        <v>0</v>
      </c>
      <c r="M72" s="3"/>
      <c r="N72" s="7">
        <f t="shared" si="39"/>
        <v>0</v>
      </c>
      <c r="O72" s="12"/>
      <c r="P72" s="8">
        <v>91.26</v>
      </c>
      <c r="Q72" s="3"/>
      <c r="R72" s="7">
        <f t="shared" si="40"/>
        <v>1.6237971872686901E-3</v>
      </c>
      <c r="S72" s="3"/>
      <c r="T72" s="8">
        <v>91.26</v>
      </c>
      <c r="U72" s="3"/>
      <c r="V72" s="7">
        <f t="shared" si="41"/>
        <v>2.240118294741245E-3</v>
      </c>
      <c r="W72" s="3"/>
      <c r="X72" s="8">
        <f t="shared" si="42"/>
        <v>0</v>
      </c>
      <c r="Y72" s="3"/>
      <c r="Z72" s="7">
        <f t="shared" si="43"/>
        <v>0</v>
      </c>
    </row>
    <row r="73" spans="1:26" s="29" customFormat="1" outlineLevel="1" collapsed="1" x14ac:dyDescent="0.3">
      <c r="A73" s="28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SUM(OSRRefD22_6x_0)</f>
        <v>132.66999999999999</v>
      </c>
      <c r="E73" s="1"/>
      <c r="F73" s="5">
        <f t="shared" si="36"/>
        <v>2.360608950634857E-3</v>
      </c>
      <c r="G73" s="1"/>
      <c r="H73" s="1">
        <f>SUM(OSRRefH22_6x_0)</f>
        <v>167.5</v>
      </c>
      <c r="I73" s="1"/>
      <c r="J73" s="5">
        <f t="shared" si="37"/>
        <v>4.1115473851540485E-3</v>
      </c>
      <c r="K73" s="1"/>
      <c r="L73" s="1">
        <f t="shared" si="38"/>
        <v>-34.830000000000013</v>
      </c>
      <c r="M73" s="1"/>
      <c r="N73" s="5">
        <f t="shared" si="39"/>
        <v>-0.20794029850746276</v>
      </c>
      <c r="O73" s="14"/>
      <c r="P73" s="1">
        <f>SUM(OSRRefP22_6x_0)</f>
        <v>132.66999999999999</v>
      </c>
      <c r="Q73" s="1"/>
      <c r="R73" s="5">
        <f t="shared" si="40"/>
        <v>2.360608950634857E-3</v>
      </c>
      <c r="S73" s="1"/>
      <c r="T73" s="1">
        <f>SUM(OSRRefT22_6x_0)</f>
        <v>167.5</v>
      </c>
      <c r="U73" s="1"/>
      <c r="V73" s="5">
        <f t="shared" si="41"/>
        <v>4.1115473851540485E-3</v>
      </c>
      <c r="W73" s="1"/>
      <c r="X73" s="1">
        <f t="shared" si="42"/>
        <v>-34.830000000000013</v>
      </c>
      <c r="Y73" s="1"/>
      <c r="Z73" s="5">
        <f t="shared" si="43"/>
        <v>-0.20794029850746276</v>
      </c>
    </row>
    <row r="74" spans="1:26" s="24" customFormat="1" hidden="1" outlineLevel="2" x14ac:dyDescent="0.3">
      <c r="A74" s="27"/>
      <c r="B74" s="12" t="str">
        <f>CONCATENATE("          ", "6305", " - ", "FREIGHT OUT")</f>
        <v xml:space="preserve">          6305 - FREIGHT OUT</v>
      </c>
      <c r="C74" s="12"/>
      <c r="D74" s="8">
        <v>132.66999999999999</v>
      </c>
      <c r="E74" s="3"/>
      <c r="F74" s="7">
        <f t="shared" si="36"/>
        <v>2.360608950634857E-3</v>
      </c>
      <c r="G74" s="3"/>
      <c r="H74" s="8">
        <v>167.5</v>
      </c>
      <c r="I74" s="3"/>
      <c r="J74" s="7">
        <f t="shared" si="37"/>
        <v>4.1115473851540485E-3</v>
      </c>
      <c r="K74" s="3"/>
      <c r="L74" s="8">
        <f t="shared" si="38"/>
        <v>-34.830000000000013</v>
      </c>
      <c r="M74" s="3"/>
      <c r="N74" s="7">
        <f t="shared" si="39"/>
        <v>-0.20794029850746276</v>
      </c>
      <c r="O74" s="12"/>
      <c r="P74" s="8">
        <v>132.66999999999999</v>
      </c>
      <c r="Q74" s="3"/>
      <c r="R74" s="7">
        <f t="shared" si="40"/>
        <v>2.360608950634857E-3</v>
      </c>
      <c r="S74" s="3"/>
      <c r="T74" s="8">
        <v>167.5</v>
      </c>
      <c r="U74" s="3"/>
      <c r="V74" s="7">
        <f t="shared" si="41"/>
        <v>4.1115473851540485E-3</v>
      </c>
      <c r="W74" s="3"/>
      <c r="X74" s="8">
        <f t="shared" si="42"/>
        <v>-34.830000000000013</v>
      </c>
      <c r="Y74" s="3"/>
      <c r="Z74" s="7">
        <f t="shared" si="43"/>
        <v>-0.20794029850746276</v>
      </c>
    </row>
    <row r="75" spans="1:26" s="29" customFormat="1" outlineLevel="1" collapsed="1" x14ac:dyDescent="0.3">
      <c r="A75" s="28"/>
      <c r="B75" s="14" t="str">
        <f>CONCATENATE("     ","General                                           ")</f>
        <v xml:space="preserve">     General                                           </v>
      </c>
      <c r="C75" s="14"/>
      <c r="D75" s="1">
        <f>SUM(OSRRefD22_7x_0)</f>
        <v>0</v>
      </c>
      <c r="E75" s="1"/>
      <c r="F75" s="5">
        <f t="shared" si="36"/>
        <v>0</v>
      </c>
      <c r="G75" s="1"/>
      <c r="H75" s="1">
        <f>SUM(OSRRefH22_7x_0)</f>
        <v>-4794.1899999999996</v>
      </c>
      <c r="I75" s="1"/>
      <c r="J75" s="5">
        <f t="shared" si="37"/>
        <v>-0.11768083199063693</v>
      </c>
      <c r="K75" s="1"/>
      <c r="L75" s="1">
        <f t="shared" si="38"/>
        <v>4794.1899999999996</v>
      </c>
      <c r="M75" s="1"/>
      <c r="N75" s="5">
        <f t="shared" si="39"/>
        <v>-1</v>
      </c>
      <c r="O75" s="14"/>
      <c r="P75" s="1">
        <f>SUM(OSRRefP22_7x_0)</f>
        <v>0</v>
      </c>
      <c r="Q75" s="1"/>
      <c r="R75" s="5">
        <f t="shared" si="40"/>
        <v>0</v>
      </c>
      <c r="S75" s="1"/>
      <c r="T75" s="1">
        <f>SUM(OSRRefT22_7x_0)</f>
        <v>-4794.1899999999996</v>
      </c>
      <c r="U75" s="1"/>
      <c r="V75" s="5">
        <f t="shared" si="41"/>
        <v>-0.11768083199063693</v>
      </c>
      <c r="W75" s="1"/>
      <c r="X75" s="1">
        <f t="shared" si="42"/>
        <v>4794.1899999999996</v>
      </c>
      <c r="Y75" s="1"/>
      <c r="Z75" s="5">
        <f t="shared" si="43"/>
        <v>-1</v>
      </c>
    </row>
    <row r="76" spans="1:26" s="24" customFormat="1" hidden="1" outlineLevel="2" x14ac:dyDescent="0.3">
      <c r="A76" s="27"/>
      <c r="B76" s="12" t="str">
        <f>CONCATENATE("          ", "6279", " - ", "GENERAL EXPENSE")</f>
        <v xml:space="preserve">          6279 - GENERAL EXPENSE</v>
      </c>
      <c r="C76" s="12"/>
      <c r="D76" s="8"/>
      <c r="E76" s="3"/>
      <c r="F76" s="7">
        <f t="shared" si="36"/>
        <v>0</v>
      </c>
      <c r="G76" s="3"/>
      <c r="H76" s="8">
        <v>-4794.1899999999996</v>
      </c>
      <c r="I76" s="3"/>
      <c r="J76" s="7">
        <f t="shared" si="37"/>
        <v>-0.11768083199063693</v>
      </c>
      <c r="K76" s="3"/>
      <c r="L76" s="8">
        <f t="shared" si="38"/>
        <v>4794.1899999999996</v>
      </c>
      <c r="M76" s="3"/>
      <c r="N76" s="7">
        <f t="shared" si="39"/>
        <v>-1</v>
      </c>
      <c r="O76" s="12"/>
      <c r="P76" s="8"/>
      <c r="Q76" s="3"/>
      <c r="R76" s="7">
        <f t="shared" si="40"/>
        <v>0</v>
      </c>
      <c r="S76" s="3"/>
      <c r="T76" s="8">
        <v>-4794.1899999999996</v>
      </c>
      <c r="U76" s="3"/>
      <c r="V76" s="7">
        <f t="shared" si="41"/>
        <v>-0.11768083199063693</v>
      </c>
      <c r="W76" s="3"/>
      <c r="X76" s="8">
        <f t="shared" si="42"/>
        <v>4794.1899999999996</v>
      </c>
      <c r="Y76" s="3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","Inventory Adjustment                              ")</f>
        <v xml:space="preserve">     Inventory Adjustment                              </v>
      </c>
      <c r="C77" s="14"/>
      <c r="D77" s="1">
        <f>SUM(OSRRefD22_8x_0)</f>
        <v>1000</v>
      </c>
      <c r="E77" s="1"/>
      <c r="F77" s="5">
        <f t="shared" si="36"/>
        <v>1.779308774127427E-2</v>
      </c>
      <c r="G77" s="1"/>
      <c r="H77" s="1">
        <f>SUM(OSRRefH22_8x_0)</f>
        <v>1000</v>
      </c>
      <c r="I77" s="1"/>
      <c r="J77" s="5">
        <f t="shared" si="37"/>
        <v>2.4546551553158498E-2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SUM(OSRRefP22_8x_0)</f>
        <v>1000</v>
      </c>
      <c r="Q77" s="1"/>
      <c r="R77" s="5">
        <f t="shared" si="40"/>
        <v>1.779308774127427E-2</v>
      </c>
      <c r="S77" s="1"/>
      <c r="T77" s="1">
        <f>SUM(OSRRefT22_8x_0)</f>
        <v>1000</v>
      </c>
      <c r="U77" s="1"/>
      <c r="V77" s="5">
        <f t="shared" si="41"/>
        <v>2.4546551553158498E-2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2" t="str">
        <f>CONCATENATE("          ", "6408", " - ", "INVENTORY ADJUSTMENT")</f>
        <v xml:space="preserve">          6408 - INVENTORY ADJUSTMENT</v>
      </c>
      <c r="C78" s="12"/>
      <c r="D78" s="8">
        <v>1000</v>
      </c>
      <c r="E78" s="3"/>
      <c r="F78" s="7">
        <f t="shared" si="36"/>
        <v>1.779308774127427E-2</v>
      </c>
      <c r="G78" s="3"/>
      <c r="H78" s="8">
        <v>1000</v>
      </c>
      <c r="I78" s="3"/>
      <c r="J78" s="7">
        <f t="shared" si="37"/>
        <v>2.4546551553158498E-2</v>
      </c>
      <c r="K78" s="3"/>
      <c r="L78" s="8">
        <f t="shared" si="38"/>
        <v>0</v>
      </c>
      <c r="M78" s="3"/>
      <c r="N78" s="7">
        <f t="shared" si="39"/>
        <v>0</v>
      </c>
      <c r="O78" s="12"/>
      <c r="P78" s="8">
        <v>1000</v>
      </c>
      <c r="Q78" s="3"/>
      <c r="R78" s="7">
        <f t="shared" si="40"/>
        <v>1.779308774127427E-2</v>
      </c>
      <c r="S78" s="3"/>
      <c r="T78" s="8">
        <v>1000</v>
      </c>
      <c r="U78" s="3"/>
      <c r="V78" s="7">
        <f t="shared" si="41"/>
        <v>2.4546551553158498E-2</v>
      </c>
      <c r="W78" s="3"/>
      <c r="X78" s="8">
        <f t="shared" si="42"/>
        <v>0</v>
      </c>
      <c r="Y78" s="3"/>
      <c r="Z78" s="7">
        <f t="shared" si="43"/>
        <v>0</v>
      </c>
    </row>
    <row r="79" spans="1:26" s="29" customFormat="1" outlineLevel="1" collapsed="1" x14ac:dyDescent="0.3">
      <c r="A79" s="28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SUM(OSRRefD22_9x_0)</f>
        <v>2900.53</v>
      </c>
      <c r="E79" s="1"/>
      <c r="F79" s="5">
        <f t="shared" si="36"/>
        <v>5.160938478619826E-2</v>
      </c>
      <c r="G79" s="1"/>
      <c r="H79" s="1">
        <f>SUM(OSRRefH22_9x_0)</f>
        <v>22.86</v>
      </c>
      <c r="I79" s="1"/>
      <c r="J79" s="5">
        <f t="shared" si="37"/>
        <v>5.6113416850520331E-4</v>
      </c>
      <c r="K79" s="1"/>
      <c r="L79" s="1">
        <f t="shared" si="38"/>
        <v>2877.67</v>
      </c>
      <c r="M79" s="1"/>
      <c r="N79" s="5">
        <f t="shared" si="39"/>
        <v>125.88232720909888</v>
      </c>
      <c r="O79" s="14"/>
      <c r="P79" s="1">
        <f>SUM(OSRRefP22_9x_0)</f>
        <v>2900.53</v>
      </c>
      <c r="Q79" s="1"/>
      <c r="R79" s="5">
        <f t="shared" si="40"/>
        <v>5.160938478619826E-2</v>
      </c>
      <c r="S79" s="1"/>
      <c r="T79" s="1">
        <f>SUM(OSRRefT22_9x_0)</f>
        <v>22.86</v>
      </c>
      <c r="U79" s="1"/>
      <c r="V79" s="5">
        <f t="shared" si="41"/>
        <v>5.6113416850520331E-4</v>
      </c>
      <c r="W79" s="1"/>
      <c r="X79" s="1">
        <f t="shared" si="42"/>
        <v>2877.67</v>
      </c>
      <c r="Y79" s="1"/>
      <c r="Z79" s="5">
        <f t="shared" si="43"/>
        <v>125.88232720909888</v>
      </c>
    </row>
    <row r="80" spans="1:26" s="24" customFormat="1" hidden="1" outlineLevel="2" x14ac:dyDescent="0.3">
      <c r="A80" s="27"/>
      <c r="B80" s="12" t="str">
        <f>CONCATENATE("          ", "6371", " - ", "COMPUTER SOFTWARE MAINTENANCE")</f>
        <v xml:space="preserve">          6371 - COMPUTER SOFTWARE MAINTENANCE</v>
      </c>
      <c r="C80" s="12"/>
      <c r="D80" s="8">
        <v>2887.5</v>
      </c>
      <c r="E80" s="3"/>
      <c r="F80" s="7">
        <f t="shared" si="36"/>
        <v>5.1377540852929456E-2</v>
      </c>
      <c r="G80" s="3"/>
      <c r="H80" s="8"/>
      <c r="I80" s="3"/>
      <c r="J80" s="7">
        <f t="shared" si="37"/>
        <v>0</v>
      </c>
      <c r="K80" s="3"/>
      <c r="L80" s="8">
        <f t="shared" si="38"/>
        <v>2887.5</v>
      </c>
      <c r="M80" s="3"/>
      <c r="N80" s="7">
        <f t="shared" si="39"/>
        <v>0</v>
      </c>
      <c r="O80" s="12"/>
      <c r="P80" s="8">
        <v>2887.5</v>
      </c>
      <c r="Q80" s="3"/>
      <c r="R80" s="7">
        <f t="shared" si="40"/>
        <v>5.1377540852929456E-2</v>
      </c>
      <c r="S80" s="3"/>
      <c r="T80" s="8"/>
      <c r="U80" s="3"/>
      <c r="V80" s="7">
        <f t="shared" si="41"/>
        <v>0</v>
      </c>
      <c r="W80" s="3"/>
      <c r="X80" s="8">
        <f t="shared" si="42"/>
        <v>2887.5</v>
      </c>
      <c r="Y80" s="3"/>
      <c r="Z80" s="7">
        <f t="shared" si="43"/>
        <v>0</v>
      </c>
    </row>
    <row r="81" spans="1:26" s="24" customFormat="1" hidden="1" outlineLevel="2" x14ac:dyDescent="0.3">
      <c r="A81" s="27"/>
      <c r="B81" s="12" t="str">
        <f>CONCATENATE("          ", "6373", " - ", "MAINTENANCE CONTRACTS")</f>
        <v xml:space="preserve">          6373 - MAINTENANCE CONTRACTS</v>
      </c>
      <c r="C81" s="12"/>
      <c r="D81" s="8">
        <v>13.03</v>
      </c>
      <c r="E81" s="3"/>
      <c r="F81" s="7">
        <f t="shared" si="36"/>
        <v>2.3184393326880373E-4</v>
      </c>
      <c r="G81" s="3"/>
      <c r="H81" s="8">
        <v>22.86</v>
      </c>
      <c r="I81" s="3"/>
      <c r="J81" s="7">
        <f t="shared" si="37"/>
        <v>5.6113416850520331E-4</v>
      </c>
      <c r="K81" s="3"/>
      <c r="L81" s="8">
        <f t="shared" si="38"/>
        <v>-9.83</v>
      </c>
      <c r="M81" s="3"/>
      <c r="N81" s="7">
        <f t="shared" si="39"/>
        <v>-0.43000874890638674</v>
      </c>
      <c r="O81" s="12"/>
      <c r="P81" s="8">
        <v>13.03</v>
      </c>
      <c r="Q81" s="3"/>
      <c r="R81" s="7">
        <f t="shared" si="40"/>
        <v>2.3184393326880373E-4</v>
      </c>
      <c r="S81" s="3"/>
      <c r="T81" s="8">
        <v>22.86</v>
      </c>
      <c r="U81" s="3"/>
      <c r="V81" s="7">
        <f t="shared" si="41"/>
        <v>5.6113416850520331E-4</v>
      </c>
      <c r="W81" s="3"/>
      <c r="X81" s="8">
        <f t="shared" si="42"/>
        <v>-9.83</v>
      </c>
      <c r="Y81" s="3"/>
      <c r="Z81" s="7">
        <f t="shared" si="43"/>
        <v>-0.43000874890638674</v>
      </c>
    </row>
    <row r="82" spans="1:26" s="29" customFormat="1" outlineLevel="1" collapsed="1" x14ac:dyDescent="0.3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SUM(OSRRefD22_10x_0)</f>
        <v>68.319999999999993</v>
      </c>
      <c r="E82" s="1"/>
      <c r="F82" s="5">
        <f t="shared" ref="F82:F86" si="44">IF(D$12=0,0,D82/D$12)</f>
        <v>1.2156237544838581E-3</v>
      </c>
      <c r="G82" s="1"/>
      <c r="H82" s="1">
        <f>SUM(OSRRefH22_10x_0)</f>
        <v>290</v>
      </c>
      <c r="I82" s="1"/>
      <c r="J82" s="5">
        <f t="shared" ref="J82:J86" si="45">IF(H$12=0,0,H82/H$12)</f>
        <v>7.118499950415965E-3</v>
      </c>
      <c r="K82" s="1"/>
      <c r="L82" s="1">
        <f t="shared" ref="L82:L86" si="46">+D82-H82</f>
        <v>-221.68</v>
      </c>
      <c r="M82" s="1"/>
      <c r="N82" s="5">
        <f t="shared" ref="N82:N86" si="47">IF(H82=0,0,L82/H82)</f>
        <v>-0.76441379310344826</v>
      </c>
      <c r="O82" s="14"/>
      <c r="P82" s="1">
        <f>SUM(OSRRefP22_10x_0)</f>
        <v>68.319999999999993</v>
      </c>
      <c r="Q82" s="1"/>
      <c r="R82" s="5">
        <f t="shared" ref="R82:R86" si="48">IF(P$12=0,0,P82/P$12)</f>
        <v>1.2156237544838581E-3</v>
      </c>
      <c r="S82" s="1"/>
      <c r="T82" s="1">
        <f>SUM(OSRRefT22_10x_0)</f>
        <v>290</v>
      </c>
      <c r="U82" s="1"/>
      <c r="V82" s="5">
        <f t="shared" ref="V82:V86" si="49">IF(T$12=0,0,T82/T$12)</f>
        <v>7.118499950415965E-3</v>
      </c>
      <c r="W82" s="1"/>
      <c r="X82" s="1">
        <f t="shared" ref="X82:X86" si="50">+P82-T82</f>
        <v>-221.68</v>
      </c>
      <c r="Y82" s="1"/>
      <c r="Z82" s="5">
        <f t="shared" ref="Z82:Z86" si="51">IF(T82=0,0,X82/T82)</f>
        <v>-0.76441379310344826</v>
      </c>
    </row>
    <row r="83" spans="1:26" s="24" customFormat="1" hidden="1" outlineLevel="2" x14ac:dyDescent="0.3">
      <c r="A83" s="27"/>
      <c r="B83" s="12" t="str">
        <f>CONCATENATE("          ", "6258", " - ", "MEMBERSHIP DUES")</f>
        <v xml:space="preserve">          6258 - MEMBERSHIP DUES</v>
      </c>
      <c r="C83" s="12"/>
      <c r="D83" s="8">
        <v>68.319999999999993</v>
      </c>
      <c r="E83" s="3"/>
      <c r="F83" s="7">
        <f t="shared" si="44"/>
        <v>1.2156237544838581E-3</v>
      </c>
      <c r="G83" s="3"/>
      <c r="H83" s="8">
        <v>290</v>
      </c>
      <c r="I83" s="3"/>
      <c r="J83" s="7">
        <f t="shared" si="45"/>
        <v>7.118499950415965E-3</v>
      </c>
      <c r="K83" s="3"/>
      <c r="L83" s="8">
        <f t="shared" si="46"/>
        <v>-221.68</v>
      </c>
      <c r="M83" s="3"/>
      <c r="N83" s="7">
        <f t="shared" si="47"/>
        <v>-0.76441379310344826</v>
      </c>
      <c r="O83" s="12"/>
      <c r="P83" s="8">
        <v>68.319999999999993</v>
      </c>
      <c r="Q83" s="3"/>
      <c r="R83" s="7">
        <f t="shared" si="48"/>
        <v>1.2156237544838581E-3</v>
      </c>
      <c r="S83" s="3"/>
      <c r="T83" s="8">
        <v>290</v>
      </c>
      <c r="U83" s="3"/>
      <c r="V83" s="7">
        <f t="shared" si="49"/>
        <v>7.118499950415965E-3</v>
      </c>
      <c r="W83" s="3"/>
      <c r="X83" s="8">
        <f t="shared" si="50"/>
        <v>-221.68</v>
      </c>
      <c r="Y83" s="3"/>
      <c r="Z83" s="7">
        <f t="shared" si="51"/>
        <v>-0.76441379310344826</v>
      </c>
    </row>
    <row r="84" spans="1:26" s="29" customFormat="1" outlineLevel="1" collapsed="1" x14ac:dyDescent="0.3">
      <c r="A84" s="28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SUM(OSRRefD22_11x_0)</f>
        <v>115.74</v>
      </c>
      <c r="E84" s="1"/>
      <c r="F84" s="5">
        <f t="shared" si="44"/>
        <v>2.0593719751750839E-3</v>
      </c>
      <c r="G84" s="1"/>
      <c r="H84" s="1">
        <f>SUM(OSRRefH22_11x_0)</f>
        <v>792.76</v>
      </c>
      <c r="I84" s="1"/>
      <c r="J84" s="5">
        <f t="shared" si="45"/>
        <v>1.9459524209281931E-2</v>
      </c>
      <c r="K84" s="1"/>
      <c r="L84" s="1">
        <f t="shared" si="46"/>
        <v>-677.02</v>
      </c>
      <c r="M84" s="1"/>
      <c r="N84" s="5">
        <f t="shared" si="47"/>
        <v>-0.85400373379080674</v>
      </c>
      <c r="O84" s="14"/>
      <c r="P84" s="1">
        <f>SUM(OSRRefP22_11x_0)</f>
        <v>115.74</v>
      </c>
      <c r="Q84" s="1"/>
      <c r="R84" s="5">
        <f t="shared" si="48"/>
        <v>2.0593719751750839E-3</v>
      </c>
      <c r="S84" s="1"/>
      <c r="T84" s="1">
        <f>SUM(OSRRefT22_11x_0)</f>
        <v>792.76</v>
      </c>
      <c r="U84" s="1"/>
      <c r="V84" s="5">
        <f t="shared" si="49"/>
        <v>1.9459524209281931E-2</v>
      </c>
      <c r="W84" s="1"/>
      <c r="X84" s="1">
        <f t="shared" si="50"/>
        <v>-677.02</v>
      </c>
      <c r="Y84" s="1"/>
      <c r="Z84" s="5">
        <f t="shared" si="51"/>
        <v>-0.85400373379080674</v>
      </c>
    </row>
    <row r="85" spans="1:26" s="24" customFormat="1" hidden="1" outlineLevel="2" x14ac:dyDescent="0.3">
      <c r="A85" s="27"/>
      <c r="B85" s="12" t="str">
        <f>CONCATENATE("          ", "6241", " - ", "OFFICE EXPENSE")</f>
        <v xml:space="preserve">          6241 - OFFICE EXPENSE</v>
      </c>
      <c r="C85" s="12"/>
      <c r="D85" s="8">
        <v>115.74</v>
      </c>
      <c r="E85" s="3"/>
      <c r="F85" s="7">
        <f t="shared" si="44"/>
        <v>2.0593719751750839E-3</v>
      </c>
      <c r="G85" s="3"/>
      <c r="H85" s="8">
        <v>159.66</v>
      </c>
      <c r="I85" s="3"/>
      <c r="J85" s="7">
        <f t="shared" si="45"/>
        <v>3.9191024209772858E-3</v>
      </c>
      <c r="K85" s="3"/>
      <c r="L85" s="8">
        <f t="shared" si="46"/>
        <v>-43.92</v>
      </c>
      <c r="M85" s="3"/>
      <c r="N85" s="7">
        <f t="shared" si="47"/>
        <v>-0.27508455467869225</v>
      </c>
      <c r="O85" s="12"/>
      <c r="P85" s="8">
        <v>115.74</v>
      </c>
      <c r="Q85" s="3"/>
      <c r="R85" s="7">
        <f t="shared" si="48"/>
        <v>2.0593719751750839E-3</v>
      </c>
      <c r="S85" s="3"/>
      <c r="T85" s="8">
        <v>159.66</v>
      </c>
      <c r="U85" s="3"/>
      <c r="V85" s="7">
        <f t="shared" si="49"/>
        <v>3.9191024209772858E-3</v>
      </c>
      <c r="W85" s="3"/>
      <c r="X85" s="8">
        <f t="shared" si="50"/>
        <v>-43.92</v>
      </c>
      <c r="Y85" s="3"/>
      <c r="Z85" s="7">
        <f t="shared" si="51"/>
        <v>-0.27508455467869225</v>
      </c>
    </row>
    <row r="86" spans="1:26" s="24" customFormat="1" hidden="1" outlineLevel="2" x14ac:dyDescent="0.3">
      <c r="A86" s="27"/>
      <c r="B86" s="12" t="str">
        <f>CONCATENATE("          ", "6247", " - ", "STORE SUPPLIES")</f>
        <v xml:space="preserve">          6247 - STORE SUPPLIES</v>
      </c>
      <c r="C86" s="12"/>
      <c r="D86" s="8"/>
      <c r="E86" s="3"/>
      <c r="F86" s="7">
        <f t="shared" si="44"/>
        <v>0</v>
      </c>
      <c r="G86" s="3"/>
      <c r="H86" s="8">
        <v>633.1</v>
      </c>
      <c r="I86" s="3"/>
      <c r="J86" s="7">
        <f t="shared" si="45"/>
        <v>1.5540421788304646E-2</v>
      </c>
      <c r="K86" s="3"/>
      <c r="L86" s="8">
        <f t="shared" si="46"/>
        <v>-633.1</v>
      </c>
      <c r="M86" s="3"/>
      <c r="N86" s="7">
        <f t="shared" si="47"/>
        <v>-1</v>
      </c>
      <c r="O86" s="12"/>
      <c r="P86" s="8"/>
      <c r="Q86" s="3"/>
      <c r="R86" s="7">
        <f t="shared" si="48"/>
        <v>0</v>
      </c>
      <c r="S86" s="3"/>
      <c r="T86" s="8">
        <v>633.1</v>
      </c>
      <c r="U86" s="3"/>
      <c r="V86" s="7">
        <f t="shared" si="49"/>
        <v>1.5540421788304646E-2</v>
      </c>
      <c r="W86" s="3"/>
      <c r="X86" s="8">
        <f t="shared" si="50"/>
        <v>-633.1</v>
      </c>
      <c r="Y86" s="3"/>
      <c r="Z86" s="7">
        <f t="shared" si="51"/>
        <v>-1</v>
      </c>
    </row>
    <row r="87" spans="1:26" s="29" customFormat="1" outlineLevel="1" collapsed="1" x14ac:dyDescent="0.3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SUM(OSRRefD22_12x_0)</f>
        <v>607.4</v>
      </c>
      <c r="E87" s="1"/>
      <c r="F87" s="5">
        <f t="shared" ref="F87:F89" si="52">IF(D$12=0,0,D87/D$12)</f>
        <v>1.0807521494049991E-2</v>
      </c>
      <c r="G87" s="1"/>
      <c r="H87" s="1">
        <f>SUM(OSRRefH22_12x_0)</f>
        <v>760.5</v>
      </c>
      <c r="I87" s="1"/>
      <c r="J87" s="5">
        <f t="shared" ref="J87:J89" si="53">IF(H$12=0,0,H87/H$12)</f>
        <v>1.866765245617704E-2</v>
      </c>
      <c r="K87" s="1"/>
      <c r="L87" s="1">
        <f t="shared" ref="L87:L89" si="54">+D87-H87</f>
        <v>-153.10000000000002</v>
      </c>
      <c r="M87" s="1"/>
      <c r="N87" s="5">
        <f t="shared" ref="N87:N89" si="55">IF(H87=0,0,L87/H87)</f>
        <v>-0.20131492439184751</v>
      </c>
      <c r="O87" s="14"/>
      <c r="P87" s="1">
        <f>SUM(OSRRefP22_12x_0)</f>
        <v>607.4</v>
      </c>
      <c r="Q87" s="1"/>
      <c r="R87" s="5">
        <f t="shared" ref="R87:R89" si="56">IF(P$12=0,0,P87/P$12)</f>
        <v>1.0807521494049991E-2</v>
      </c>
      <c r="S87" s="1"/>
      <c r="T87" s="1">
        <f>SUM(OSRRefT22_12x_0)</f>
        <v>760.5</v>
      </c>
      <c r="U87" s="1"/>
      <c r="V87" s="5">
        <f t="shared" ref="V87:V89" si="57">IF(T$12=0,0,T87/T$12)</f>
        <v>1.866765245617704E-2</v>
      </c>
      <c r="W87" s="1"/>
      <c r="X87" s="1">
        <f t="shared" ref="X87:X89" si="58">+P87-T87</f>
        <v>-153.10000000000002</v>
      </c>
      <c r="Y87" s="1"/>
      <c r="Z87" s="5">
        <f t="shared" ref="Z87:Z89" si="59">IF(T87=0,0,X87/T87)</f>
        <v>-0.20131492439184751</v>
      </c>
    </row>
    <row r="88" spans="1:26" s="24" customFormat="1" hidden="1" outlineLevel="2" x14ac:dyDescent="0.3">
      <c r="A88" s="27"/>
      <c r="B88" s="12" t="str">
        <f>CONCATENATE("          ", "6303", " - ", "DATA PHONE LINES")</f>
        <v xml:space="preserve">          6303 - DATA PHONE LINES</v>
      </c>
      <c r="C88" s="12"/>
      <c r="D88" s="8">
        <v>295</v>
      </c>
      <c r="E88" s="3"/>
      <c r="F88" s="7">
        <f t="shared" si="52"/>
        <v>5.2489608836759098E-3</v>
      </c>
      <c r="G88" s="3"/>
      <c r="H88" s="8">
        <v>295</v>
      </c>
      <c r="I88" s="3"/>
      <c r="J88" s="7">
        <f t="shared" si="53"/>
        <v>7.2412327081817574E-3</v>
      </c>
      <c r="K88" s="3"/>
      <c r="L88" s="8">
        <f t="shared" si="54"/>
        <v>0</v>
      </c>
      <c r="M88" s="3"/>
      <c r="N88" s="7">
        <f t="shared" si="55"/>
        <v>0</v>
      </c>
      <c r="O88" s="12"/>
      <c r="P88" s="8">
        <v>295</v>
      </c>
      <c r="Q88" s="3"/>
      <c r="R88" s="7">
        <f t="shared" si="56"/>
        <v>5.2489608836759098E-3</v>
      </c>
      <c r="S88" s="3"/>
      <c r="T88" s="8">
        <v>295</v>
      </c>
      <c r="U88" s="3"/>
      <c r="V88" s="7">
        <f t="shared" si="57"/>
        <v>7.2412327081817574E-3</v>
      </c>
      <c r="W88" s="3"/>
      <c r="X88" s="8">
        <f t="shared" si="58"/>
        <v>0</v>
      </c>
      <c r="Y88" s="3"/>
      <c r="Z88" s="7">
        <f t="shared" si="59"/>
        <v>0</v>
      </c>
    </row>
    <row r="89" spans="1:26" s="24" customFormat="1" hidden="1" outlineLevel="2" x14ac:dyDescent="0.3">
      <c r="A89" s="27"/>
      <c r="B89" s="12" t="str">
        <f>CONCATENATE("          ", "6309", " - ", "TELEPHONE")</f>
        <v xml:space="preserve">          6309 - TELEPHONE</v>
      </c>
      <c r="C89" s="12"/>
      <c r="D89" s="8">
        <v>312.39999999999998</v>
      </c>
      <c r="E89" s="3"/>
      <c r="F89" s="7">
        <f t="shared" si="52"/>
        <v>5.5585606103740817E-3</v>
      </c>
      <c r="G89" s="3"/>
      <c r="H89" s="8">
        <v>465.5</v>
      </c>
      <c r="I89" s="3"/>
      <c r="J89" s="7">
        <f t="shared" si="53"/>
        <v>1.1426419747995282E-2</v>
      </c>
      <c r="K89" s="3"/>
      <c r="L89" s="8">
        <f t="shared" si="54"/>
        <v>-153.10000000000002</v>
      </c>
      <c r="M89" s="3"/>
      <c r="N89" s="7">
        <f t="shared" si="55"/>
        <v>-0.32889366272824927</v>
      </c>
      <c r="O89" s="12"/>
      <c r="P89" s="8">
        <v>312.39999999999998</v>
      </c>
      <c r="Q89" s="3"/>
      <c r="R89" s="7">
        <f t="shared" si="56"/>
        <v>5.5585606103740817E-3</v>
      </c>
      <c r="S89" s="3"/>
      <c r="T89" s="8">
        <v>465.5</v>
      </c>
      <c r="U89" s="3"/>
      <c r="V89" s="7">
        <f t="shared" si="57"/>
        <v>1.1426419747995282E-2</v>
      </c>
      <c r="W89" s="3"/>
      <c r="X89" s="8">
        <f t="shared" si="58"/>
        <v>-153.10000000000002</v>
      </c>
      <c r="Y89" s="3"/>
      <c r="Z89" s="7">
        <f t="shared" si="59"/>
        <v>-0.32889366272824927</v>
      </c>
    </row>
    <row r="90" spans="1:26" s="29" customFormat="1" outlineLevel="1" collapsed="1" x14ac:dyDescent="0.3">
      <c r="A90" s="28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SUM(OSRRefD22_13x_0)</f>
        <v>0</v>
      </c>
      <c r="E90" s="1"/>
      <c r="F90" s="5">
        <f t="shared" ref="F90:F91" si="60">IF(D$12=0,0,D90/D$12)</f>
        <v>0</v>
      </c>
      <c r="G90" s="1"/>
      <c r="H90" s="1">
        <f>SUM(OSRRefH22_13x_0)</f>
        <v>0.16</v>
      </c>
      <c r="I90" s="1"/>
      <c r="J90" s="5">
        <f t="shared" ref="J90:J91" si="61">IF(H$12=0,0,H90/H$12)</f>
        <v>3.9274482485053597E-6</v>
      </c>
      <c r="K90" s="1"/>
      <c r="L90" s="1">
        <f t="shared" ref="L90:L91" si="62">+D90-H90</f>
        <v>-0.16</v>
      </c>
      <c r="M90" s="1"/>
      <c r="N90" s="5">
        <f t="shared" ref="N90:N91" si="63">IF(H90=0,0,L90/H90)</f>
        <v>-1</v>
      </c>
      <c r="O90" s="14"/>
      <c r="P90" s="1">
        <f>SUM(OSRRefP22_13x_0)</f>
        <v>0</v>
      </c>
      <c r="Q90" s="1"/>
      <c r="R90" s="5">
        <f t="shared" ref="R90:R91" si="64">IF(P$12=0,0,P90/P$12)</f>
        <v>0</v>
      </c>
      <c r="S90" s="1"/>
      <c r="T90" s="1">
        <f>SUM(OSRRefT22_13x_0)</f>
        <v>0.16</v>
      </c>
      <c r="U90" s="1"/>
      <c r="V90" s="5">
        <f t="shared" ref="V90:V91" si="65">IF(T$12=0,0,T90/T$12)</f>
        <v>3.9274482485053597E-6</v>
      </c>
      <c r="W90" s="1"/>
      <c r="X90" s="1">
        <f t="shared" ref="X90:X91" si="66">+P90-T90</f>
        <v>-0.16</v>
      </c>
      <c r="Y90" s="1"/>
      <c r="Z90" s="5">
        <f t="shared" ref="Z90:Z91" si="67">IF(T90=0,0,X90/T90)</f>
        <v>-1</v>
      </c>
    </row>
    <row r="91" spans="1:26" s="24" customFormat="1" hidden="1" outlineLevel="2" x14ac:dyDescent="0.3">
      <c r="A91" s="27"/>
      <c r="B91" s="12" t="str">
        <f>CONCATENATE("          ", "6292", " - ", "TRAVEL/CONFERENCE")</f>
        <v xml:space="preserve">          6292 - TRAVEL/CONFERENCE</v>
      </c>
      <c r="C91" s="12"/>
      <c r="D91" s="8"/>
      <c r="E91" s="3"/>
      <c r="F91" s="7">
        <f t="shared" si="60"/>
        <v>0</v>
      </c>
      <c r="G91" s="3"/>
      <c r="H91" s="8">
        <v>0.16</v>
      </c>
      <c r="I91" s="3"/>
      <c r="J91" s="7">
        <f t="shared" si="61"/>
        <v>3.9274482485053597E-6</v>
      </c>
      <c r="K91" s="3"/>
      <c r="L91" s="8">
        <f t="shared" si="62"/>
        <v>-0.16</v>
      </c>
      <c r="M91" s="3"/>
      <c r="N91" s="7">
        <f t="shared" si="63"/>
        <v>-1</v>
      </c>
      <c r="O91" s="12"/>
      <c r="P91" s="8"/>
      <c r="Q91" s="3"/>
      <c r="R91" s="7">
        <f t="shared" si="64"/>
        <v>0</v>
      </c>
      <c r="S91" s="3"/>
      <c r="T91" s="8">
        <v>0.16</v>
      </c>
      <c r="U91" s="3"/>
      <c r="V91" s="7">
        <f t="shared" si="65"/>
        <v>3.9274482485053597E-6</v>
      </c>
      <c r="W91" s="3"/>
      <c r="X91" s="8">
        <f t="shared" si="66"/>
        <v>-0.16</v>
      </c>
      <c r="Y91" s="3"/>
      <c r="Z91" s="7">
        <f t="shared" si="67"/>
        <v>-1</v>
      </c>
    </row>
    <row r="92" spans="1:26" s="53" customFormat="1" x14ac:dyDescent="0.3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3">
      <c r="A93" s="10"/>
      <c r="B93" s="25" t="s">
        <v>292</v>
      </c>
      <c r="C93" s="10"/>
      <c r="D93" s="4">
        <f>SUM(OSRRefD25x_0)</f>
        <v>631.93999999999994</v>
      </c>
      <c r="E93" s="4"/>
      <c r="F93" s="11">
        <f t="shared" ref="F93:F95" si="68">IF(D$12=0,0,D93/D$12)</f>
        <v>1.1244163867220861E-2</v>
      </c>
      <c r="G93" s="4"/>
      <c r="H93" s="4">
        <f>SUM(OSRRefH25x_0)</f>
        <v>2056.9300000000003</v>
      </c>
      <c r="I93" s="4"/>
      <c r="J93" s="11">
        <f t="shared" ref="J93:J95" si="69">IF(H$12=0,0,H93/H$12)</f>
        <v>5.0490538286238319E-2</v>
      </c>
      <c r="K93" s="4"/>
      <c r="L93" s="4">
        <f t="shared" ref="L93:L95" si="70">+D93-H93</f>
        <v>-1424.9900000000002</v>
      </c>
      <c r="M93" s="4"/>
      <c r="N93" s="11">
        <f t="shared" ref="N93:N95" si="71">IF(H93=0,0,L93/H93)</f>
        <v>-0.69277515520703181</v>
      </c>
      <c r="O93" s="10"/>
      <c r="P93" s="4">
        <f>SUM(OSRRefP25x_0)</f>
        <v>631.93999999999994</v>
      </c>
      <c r="Q93" s="4"/>
      <c r="R93" s="11">
        <f t="shared" ref="R93:R95" si="72">IF(P$12=0,0,P93/P$12)</f>
        <v>1.1244163867220861E-2</v>
      </c>
      <c r="S93" s="4"/>
      <c r="T93" s="4">
        <f>SUM(OSRRefT25x_0)</f>
        <v>2056.9300000000003</v>
      </c>
      <c r="U93" s="4"/>
      <c r="V93" s="11">
        <f t="shared" ref="V93:V95" si="73">IF(T$12=0,0,T93/T$12)</f>
        <v>5.0490538286238319E-2</v>
      </c>
      <c r="W93" s="4"/>
      <c r="X93" s="4">
        <f t="shared" ref="X93:X95" si="74">+P93-T93</f>
        <v>-1424.9900000000002</v>
      </c>
      <c r="Y93" s="4"/>
      <c r="Z93" s="11">
        <f t="shared" ref="Z93:Z95" si="75">IF(T93=0,0,X93/T93)</f>
        <v>-0.69277515520703181</v>
      </c>
    </row>
    <row r="94" spans="1:26" s="24" customFormat="1" hidden="1" outlineLevel="1" x14ac:dyDescent="0.3">
      <c r="A94" s="50"/>
      <c r="B94" s="12" t="str">
        <f>CONCATENATE("          ", "9150", " - ", "MISC. INCOME")</f>
        <v xml:space="preserve">          9150 - MISC. INCOME</v>
      </c>
      <c r="C94" s="12"/>
      <c r="D94" s="3">
        <f>--565.02</f>
        <v>565.02</v>
      </c>
      <c r="E94" s="3"/>
      <c r="F94" s="22">
        <f t="shared" si="68"/>
        <v>1.0053450435574788E-2</v>
      </c>
      <c r="G94" s="3"/>
      <c r="H94" s="3">
        <f>--582.54</f>
        <v>582.54</v>
      </c>
      <c r="I94" s="3"/>
      <c r="J94" s="22">
        <f t="shared" si="69"/>
        <v>1.4299348141776951E-2</v>
      </c>
      <c r="K94" s="3"/>
      <c r="L94" s="3">
        <f t="shared" si="70"/>
        <v>-17.519999999999982</v>
      </c>
      <c r="M94" s="3"/>
      <c r="N94" s="22">
        <f t="shared" si="71"/>
        <v>-3.0075187969924783E-2</v>
      </c>
      <c r="O94" s="12"/>
      <c r="P94" s="3">
        <f>--565.02</f>
        <v>565.02</v>
      </c>
      <c r="Q94" s="3"/>
      <c r="R94" s="22">
        <f t="shared" si="72"/>
        <v>1.0053450435574788E-2</v>
      </c>
      <c r="S94" s="3"/>
      <c r="T94" s="3">
        <f>--582.54</f>
        <v>582.54</v>
      </c>
      <c r="U94" s="3"/>
      <c r="V94" s="22">
        <f t="shared" si="73"/>
        <v>1.4299348141776951E-2</v>
      </c>
      <c r="W94" s="3"/>
      <c r="X94" s="3">
        <f t="shared" si="74"/>
        <v>-17.519999999999982</v>
      </c>
      <c r="Y94" s="3"/>
      <c r="Z94" s="22">
        <f t="shared" si="75"/>
        <v>-3.0075187969924783E-2</v>
      </c>
    </row>
    <row r="95" spans="1:26" s="24" customFormat="1" hidden="1" outlineLevel="1" x14ac:dyDescent="0.3">
      <c r="A95" s="50"/>
      <c r="B95" s="12" t="str">
        <f>CONCATENATE("          ", "9152", " - ", "MISC. INCOME")</f>
        <v xml:space="preserve">          9152 - MISC. INCOME</v>
      </c>
      <c r="C95" s="12"/>
      <c r="D95" s="3">
        <f>--66.92</f>
        <v>66.92</v>
      </c>
      <c r="E95" s="3"/>
      <c r="F95" s="22">
        <f t="shared" si="68"/>
        <v>1.1907134316460743E-3</v>
      </c>
      <c r="G95" s="3"/>
      <c r="H95" s="3">
        <f>--1474.39</f>
        <v>1474.39</v>
      </c>
      <c r="I95" s="3"/>
      <c r="J95" s="22">
        <f t="shared" si="69"/>
        <v>3.6191190144461365E-2</v>
      </c>
      <c r="K95" s="3"/>
      <c r="L95" s="3">
        <f t="shared" si="70"/>
        <v>-1407.47</v>
      </c>
      <c r="M95" s="3"/>
      <c r="N95" s="22">
        <f t="shared" si="71"/>
        <v>-0.95461173773560581</v>
      </c>
      <c r="O95" s="12"/>
      <c r="P95" s="3">
        <f>--66.92</f>
        <v>66.92</v>
      </c>
      <c r="Q95" s="3"/>
      <c r="R95" s="22">
        <f t="shared" si="72"/>
        <v>1.1907134316460743E-3</v>
      </c>
      <c r="S95" s="3"/>
      <c r="T95" s="3">
        <f>--1474.39</f>
        <v>1474.39</v>
      </c>
      <c r="U95" s="3"/>
      <c r="V95" s="22">
        <f t="shared" si="73"/>
        <v>3.6191190144461365E-2</v>
      </c>
      <c r="W95" s="3"/>
      <c r="X95" s="3">
        <f t="shared" si="74"/>
        <v>-1407.47</v>
      </c>
      <c r="Y95" s="3"/>
      <c r="Z95" s="22">
        <f t="shared" si="75"/>
        <v>-0.95461173773560581</v>
      </c>
    </row>
    <row r="96" spans="1:26" x14ac:dyDescent="0.3">
      <c r="A96" s="9"/>
      <c r="B96" s="10"/>
      <c r="C96" s="10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10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x14ac:dyDescent="0.3">
      <c r="A97" s="10"/>
      <c r="B97" s="26" t="s">
        <v>276</v>
      </c>
      <c r="C97" s="26"/>
      <c r="D97" s="20">
        <f>+D45-D47+D93</f>
        <v>-34998.920000000035</v>
      </c>
      <c r="E97" s="13"/>
      <c r="F97" s="21">
        <f>IF(D$12=0,0,D97/D$12)</f>
        <v>-0.62273885440983945</v>
      </c>
      <c r="G97" s="13"/>
      <c r="H97" s="20">
        <f>+H45-H47+H93</f>
        <v>-23436.260000000009</v>
      </c>
      <c r="I97" s="13"/>
      <c r="J97" s="21">
        <f>IF(H$12=0,0,H97/H$12)</f>
        <v>-0.57527936430322668</v>
      </c>
      <c r="K97" s="16"/>
      <c r="L97" s="20">
        <f>+D97-H97</f>
        <v>-11562.660000000025</v>
      </c>
      <c r="M97" s="16"/>
      <c r="N97" s="21">
        <f>IF(H97=0,0,L97/H97)</f>
        <v>0.49336626236438835</v>
      </c>
      <c r="O97" s="25"/>
      <c r="P97" s="20">
        <f>+P45-P47+P93</f>
        <v>-34998.920000000035</v>
      </c>
      <c r="Q97" s="13"/>
      <c r="R97" s="21">
        <f>IF(P$12=0,0,P97/P$12)</f>
        <v>-0.62273885440983945</v>
      </c>
      <c r="S97" s="13"/>
      <c r="T97" s="20">
        <f>+T45-T47+T93</f>
        <v>-23436.260000000009</v>
      </c>
      <c r="U97" s="13"/>
      <c r="V97" s="21">
        <f>IF(T$12=0,0,T97/T$12)</f>
        <v>-0.57527936430322668</v>
      </c>
      <c r="W97" s="16"/>
      <c r="X97" s="20">
        <f>+P97-T97</f>
        <v>-11562.660000000025</v>
      </c>
      <c r="Y97" s="16"/>
      <c r="Z97" s="21">
        <f>IF(T97=0,0,X97/T97)</f>
        <v>0.49336626236438835</v>
      </c>
    </row>
    <row r="98" spans="1:26" x14ac:dyDescent="0.3">
      <c r="A98" s="9"/>
      <c r="B98" s="10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x14ac:dyDescent="0.3">
      <c r="A99" s="51"/>
      <c r="B99" s="10" t="s">
        <v>127</v>
      </c>
      <c r="C99" s="10"/>
      <c r="D99" s="4">
        <v>25964.91</v>
      </c>
      <c r="E99" s="4"/>
      <c r="F99" s="11">
        <f>IF(D$12=0,0,D99/D$12)</f>
        <v>0.46199592182428972</v>
      </c>
      <c r="G99" s="4"/>
      <c r="H99" s="4">
        <v>19963.62</v>
      </c>
      <c r="I99" s="4"/>
      <c r="J99" s="11">
        <f>IF(H$12=0,0,H99/H$12)</f>
        <v>0.49003802751766606</v>
      </c>
      <c r="K99" s="4"/>
      <c r="L99" s="4">
        <f>+D99-H99</f>
        <v>6001.2900000000009</v>
      </c>
      <c r="M99" s="4"/>
      <c r="N99" s="11">
        <f>IF(H99=0,0,L99/H99)</f>
        <v>0.30061131197648527</v>
      </c>
      <c r="O99" s="10"/>
      <c r="P99" s="4">
        <v>25964.91</v>
      </c>
      <c r="Q99" s="4"/>
      <c r="R99" s="11">
        <f>IF(P$12=0,0,P99/P$12)</f>
        <v>0.46199592182428972</v>
      </c>
      <c r="S99" s="4"/>
      <c r="T99" s="4">
        <v>19963.62</v>
      </c>
      <c r="U99" s="4"/>
      <c r="V99" s="11">
        <f>IF(T$12=0,0,T99/T$12)</f>
        <v>0.49003802751766606</v>
      </c>
      <c r="W99" s="4"/>
      <c r="X99" s="4">
        <f>+P99-T99</f>
        <v>6001.2900000000009</v>
      </c>
      <c r="Y99" s="4"/>
      <c r="Z99" s="11">
        <f>IF(T99=0,0,X99/T99)</f>
        <v>0.30061131197648527</v>
      </c>
    </row>
    <row r="100" spans="1:26" x14ac:dyDescent="0.3">
      <c r="A100" s="9"/>
      <c r="B100" s="10"/>
      <c r="C100" s="10"/>
      <c r="D100" s="2"/>
      <c r="E100" s="2"/>
      <c r="F100" s="6"/>
      <c r="G100" s="2"/>
      <c r="H100" s="2"/>
      <c r="I100" s="2"/>
      <c r="J100" s="6"/>
      <c r="K100" s="2"/>
      <c r="L100" s="2"/>
      <c r="M100" s="2"/>
      <c r="N100" s="6"/>
      <c r="O100" s="10"/>
      <c r="P100" s="2"/>
      <c r="Q100" s="2"/>
      <c r="R100" s="6"/>
      <c r="S100" s="2"/>
      <c r="T100" s="2"/>
      <c r="U100" s="2"/>
      <c r="V100" s="6"/>
      <c r="W100" s="2"/>
      <c r="X100" s="2"/>
      <c r="Y100" s="2"/>
      <c r="Z100" s="6"/>
    </row>
    <row r="101" spans="1:26" s="23" customFormat="1" ht="15" thickBot="1" x14ac:dyDescent="0.35">
      <c r="A101" s="10"/>
      <c r="B101" s="26" t="s">
        <v>125</v>
      </c>
      <c r="C101" s="26"/>
      <c r="D101" s="36">
        <f>+D97-D99</f>
        <v>-60963.830000000031</v>
      </c>
      <c r="E101" s="13"/>
      <c r="F101" s="34">
        <f>IF(D$12=0,0,D101/D$12)</f>
        <v>-1.0847347762341291</v>
      </c>
      <c r="G101" s="13"/>
      <c r="H101" s="36">
        <f>+H97-H99</f>
        <v>-43399.880000000005</v>
      </c>
      <c r="I101" s="13"/>
      <c r="J101" s="34">
        <f>IF(H$12=0,0,H101/H$12)</f>
        <v>-1.0653173918208927</v>
      </c>
      <c r="K101" s="16"/>
      <c r="L101" s="36">
        <f>D101-H101</f>
        <v>-17563.950000000026</v>
      </c>
      <c r="M101" s="16"/>
      <c r="N101" s="34">
        <f>IF(H101=0,0,L101/H101)</f>
        <v>0.40470042774311876</v>
      </c>
      <c r="O101" s="25"/>
      <c r="P101" s="36">
        <f>+P97-P99</f>
        <v>-60963.830000000031</v>
      </c>
      <c r="Q101" s="13"/>
      <c r="R101" s="34">
        <f>IF(P$12=0,0,P101/P$12)</f>
        <v>-1.0847347762341291</v>
      </c>
      <c r="S101" s="13"/>
      <c r="T101" s="36">
        <f>+T97-T99</f>
        <v>-43399.880000000005</v>
      </c>
      <c r="U101" s="13"/>
      <c r="V101" s="34">
        <f>IF(T$12=0,0,T101/T$12)</f>
        <v>-1.0653173918208927</v>
      </c>
      <c r="W101" s="16"/>
      <c r="X101" s="36">
        <f>P101-T101</f>
        <v>-17563.950000000026</v>
      </c>
      <c r="Y101" s="16"/>
      <c r="Z101" s="34">
        <f>IF(T101=0,0,X101/T101)</f>
        <v>0.40470042774311876</v>
      </c>
    </row>
    <row r="102" spans="1:26" ht="15" thickTop="1" x14ac:dyDescent="0.3">
      <c r="A102" s="9"/>
      <c r="B102" s="9"/>
      <c r="C102" s="9"/>
      <c r="D102" s="2"/>
      <c r="E102" s="2"/>
      <c r="F102" s="6"/>
      <c r="G102" s="2"/>
      <c r="H102" s="2"/>
      <c r="I102" s="2"/>
      <c r="J102" s="6"/>
      <c r="K102" s="2"/>
      <c r="L102" s="2"/>
      <c r="M102" s="2"/>
      <c r="N102" s="6"/>
      <c r="P102" s="2"/>
      <c r="Q102" s="2"/>
      <c r="R102" s="6"/>
      <c r="S102" s="2"/>
      <c r="T102" s="2"/>
      <c r="U102" s="2"/>
      <c r="V102" s="6"/>
      <c r="W102" s="2"/>
      <c r="X102" s="2"/>
      <c r="Y102" s="2"/>
      <c r="Z102" s="6"/>
    </row>
    <row r="103" spans="1:26" x14ac:dyDescent="0.3">
      <c r="A103" s="9"/>
      <c r="B103" s="9"/>
      <c r="C103" s="9"/>
      <c r="D103" s="2"/>
      <c r="E103" s="2"/>
      <c r="F103" s="6"/>
      <c r="G103" s="2"/>
      <c r="H103" s="2"/>
      <c r="I103" s="2"/>
      <c r="J103" s="6"/>
      <c r="K103" s="2"/>
      <c r="L103" s="2"/>
      <c r="M103" s="2"/>
      <c r="N103" s="6"/>
      <c r="P103" s="2"/>
      <c r="Q103" s="2"/>
      <c r="R103" s="6"/>
      <c r="S103" s="2"/>
      <c r="T103" s="2"/>
      <c r="U103" s="2"/>
      <c r="V103" s="6"/>
      <c r="W103" s="2"/>
      <c r="X103" s="2"/>
      <c r="Y103" s="2"/>
      <c r="Z103" s="6"/>
    </row>
    <row r="104" spans="1:26" s="23" customFormat="1" ht="15" thickBot="1" x14ac:dyDescent="0.35">
      <c r="A104" s="10"/>
      <c r="B104" s="26" t="s">
        <v>293</v>
      </c>
      <c r="C104" s="26"/>
      <c r="D104" s="31">
        <f>SUM(D101:D103)</f>
        <v>-60963.830000000031</v>
      </c>
      <c r="E104" s="13"/>
      <c r="F104" s="33">
        <f>IF(D$12=0,0,D104/D$12)</f>
        <v>-1.0847347762341291</v>
      </c>
      <c r="G104" s="13"/>
      <c r="H104" s="31">
        <f>SUM(H101:H103)</f>
        <v>-43399.880000000005</v>
      </c>
      <c r="I104" s="13"/>
      <c r="J104" s="33">
        <f>IF(H$12=0,0,H104/H$12)</f>
        <v>-1.0653173918208927</v>
      </c>
      <c r="K104" s="16"/>
      <c r="L104" s="31">
        <f>+D104-H104</f>
        <v>-17563.950000000026</v>
      </c>
      <c r="M104" s="16"/>
      <c r="N104" s="33">
        <f>IF(H104=0,0,L104/H104)</f>
        <v>0.40470042774311876</v>
      </c>
      <c r="O104" s="25"/>
      <c r="P104" s="31">
        <f>SUM(P101:P103)</f>
        <v>-60963.830000000031</v>
      </c>
      <c r="Q104" s="13"/>
      <c r="R104" s="33">
        <f>IF(P$12=0,0,P104/P$12)</f>
        <v>-1.0847347762341291</v>
      </c>
      <c r="S104" s="13"/>
      <c r="T104" s="31">
        <f>SUM(T101:T103)</f>
        <v>-43399.880000000005</v>
      </c>
      <c r="U104" s="13"/>
      <c r="V104" s="33">
        <f>IF(T$12=0,0,T104/T$12)</f>
        <v>-1.0653173918208927</v>
      </c>
      <c r="W104" s="16"/>
      <c r="X104" s="31">
        <f>+P104-T104</f>
        <v>-17563.950000000026</v>
      </c>
      <c r="Y104" s="16"/>
      <c r="Z104" s="33">
        <f>IF(T104=0,0,X104/T104)</f>
        <v>0.40470042774311876</v>
      </c>
    </row>
    <row r="105" spans="1:26" ht="15" thickTop="1" x14ac:dyDescent="0.3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3">
      <c r="A106" s="9"/>
      <c r="B106" s="59">
        <v>44462.666945868055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3">
      <c r="A107" s="9"/>
      <c r="B107" s="57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3">
      <c r="A108" s="9"/>
      <c r="B108" s="61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3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5913.22</v>
      </c>
      <c r="E12" s="4"/>
      <c r="F12" s="11"/>
      <c r="G12" s="4"/>
      <c r="H12" s="4">
        <f>SUM(OSRRefH13x_0)</f>
        <v>7299.64</v>
      </c>
      <c r="I12" s="4"/>
      <c r="J12" s="11"/>
      <c r="K12" s="4"/>
      <c r="L12" s="4">
        <f t="shared" ref="L12:L16" si="0">+D12-H12</f>
        <v>-1386.42</v>
      </c>
      <c r="M12" s="4"/>
      <c r="N12" s="11">
        <f t="shared" ref="N12:N16" si="1">IF(H12=0,0,L12/H12)</f>
        <v>-0.18992991435194065</v>
      </c>
      <c r="O12" s="10"/>
      <c r="P12" s="4">
        <f>SUM(OSRRefP13x_0)</f>
        <v>5913.22</v>
      </c>
      <c r="Q12" s="4"/>
      <c r="R12" s="11"/>
      <c r="S12" s="4"/>
      <c r="T12" s="4">
        <f>SUM(OSRRefT13x_0)</f>
        <v>7299.64</v>
      </c>
      <c r="U12" s="4"/>
      <c r="V12" s="11"/>
      <c r="W12" s="4"/>
      <c r="X12" s="4">
        <f t="shared" ref="X12:X16" si="2">+P12-T12</f>
        <v>-1386.42</v>
      </c>
      <c r="Y12" s="4"/>
      <c r="Z12" s="11">
        <f t="shared" ref="Z12:Z16" si="3">IF(T12=0,0,X12/T12)</f>
        <v>-0.18992991435194065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--3909.05</f>
        <v>3909.05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3909.05</v>
      </c>
      <c r="M13" s="3"/>
      <c r="N13" s="22">
        <f t="shared" si="1"/>
        <v>0</v>
      </c>
      <c r="O13" s="12"/>
      <c r="P13" s="3">
        <f>--3909.05</f>
        <v>3909.05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3909.05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"4001", " - ", "TAXABLE SALES-NEW TEXT")</f>
        <v xml:space="preserve">          4001 - TAXABLE SALES-NEW TEXT</v>
      </c>
      <c r="C14" s="12"/>
      <c r="D14" s="3">
        <f t="shared" ref="D14:D15" si="4">0</f>
        <v>0</v>
      </c>
      <c r="E14" s="3"/>
      <c r="F14" s="22"/>
      <c r="G14" s="3"/>
      <c r="H14" s="3">
        <f>--1912.95</f>
        <v>1912.95</v>
      </c>
      <c r="I14" s="3"/>
      <c r="J14" s="22"/>
      <c r="K14" s="3"/>
      <c r="L14" s="3">
        <f t="shared" si="0"/>
        <v>-1912.95</v>
      </c>
      <c r="M14" s="3"/>
      <c r="N14" s="22">
        <f t="shared" si="1"/>
        <v>-1</v>
      </c>
      <c r="O14" s="12"/>
      <c r="P14" s="3">
        <f t="shared" ref="P14:P15" si="5">0</f>
        <v>0</v>
      </c>
      <c r="Q14" s="3"/>
      <c r="R14" s="22"/>
      <c r="S14" s="3"/>
      <c r="T14" s="3">
        <f>--1912.95</f>
        <v>1912.95</v>
      </c>
      <c r="U14" s="3"/>
      <c r="V14" s="22"/>
      <c r="W14" s="3"/>
      <c r="X14" s="3">
        <f t="shared" si="2"/>
        <v>-1912.95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"4002", " - ", "TAXABLE SALES-USED TEXT")</f>
        <v xml:space="preserve">          4002 - TAXABLE SALES-USED TEXT</v>
      </c>
      <c r="C15" s="12"/>
      <c r="D15" s="3">
        <f t="shared" si="4"/>
        <v>0</v>
      </c>
      <c r="E15" s="3"/>
      <c r="F15" s="22"/>
      <c r="G15" s="3"/>
      <c r="H15" s="3">
        <f>--2348.39</f>
        <v>2348.39</v>
      </c>
      <c r="I15" s="3"/>
      <c r="J15" s="22"/>
      <c r="K15" s="3"/>
      <c r="L15" s="3">
        <f t="shared" si="0"/>
        <v>-2348.39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--2348.39</f>
        <v>2348.39</v>
      </c>
      <c r="U15" s="3"/>
      <c r="V15" s="22"/>
      <c r="W15" s="3"/>
      <c r="X15" s="3">
        <f t="shared" si="2"/>
        <v>-2348.39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"4100", " - ", "NON-TAXABLE SALES")</f>
        <v xml:space="preserve">          4100 - NON-TAXABLE SALES</v>
      </c>
      <c r="C16" s="12"/>
      <c r="D16" s="3">
        <f>--2004.17</f>
        <v>2004.17</v>
      </c>
      <c r="E16" s="3"/>
      <c r="F16" s="22"/>
      <c r="G16" s="3"/>
      <c r="H16" s="3">
        <f>--3038.3</f>
        <v>3038.3</v>
      </c>
      <c r="I16" s="3"/>
      <c r="J16" s="22"/>
      <c r="K16" s="3"/>
      <c r="L16" s="3">
        <f t="shared" si="0"/>
        <v>-1034.1300000000001</v>
      </c>
      <c r="M16" s="3"/>
      <c r="N16" s="22">
        <f t="shared" si="1"/>
        <v>-0.34036467761577199</v>
      </c>
      <c r="O16" s="12"/>
      <c r="P16" s="3">
        <f>--2004.17</f>
        <v>2004.17</v>
      </c>
      <c r="Q16" s="3"/>
      <c r="R16" s="22"/>
      <c r="S16" s="3"/>
      <c r="T16" s="3">
        <f>--3038.3</f>
        <v>3038.3</v>
      </c>
      <c r="U16" s="3"/>
      <c r="V16" s="22"/>
      <c r="W16" s="3"/>
      <c r="X16" s="3">
        <f t="shared" si="2"/>
        <v>-1034.1300000000001</v>
      </c>
      <c r="Y16" s="3"/>
      <c r="Z16" s="22">
        <f t="shared" si="3"/>
        <v>-0.34036467761577199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256</v>
      </c>
      <c r="C18" s="10"/>
      <c r="D18" s="4">
        <f>SUM(OSRRefD16x_0)</f>
        <v>2010.03</v>
      </c>
      <c r="E18" s="4"/>
      <c r="F18" s="11">
        <f t="shared" ref="F18:F21" si="6">IF(D$12=0,0,D18/D$12)</f>
        <v>0.33992139646419378</v>
      </c>
      <c r="G18" s="4"/>
      <c r="H18" s="4">
        <f>SUM(OSRRefH16x_0)</f>
        <v>4729.28</v>
      </c>
      <c r="I18" s="4"/>
      <c r="J18" s="11">
        <f t="shared" ref="J18:J21" si="7">IF(H$12=0,0,H18/H$12)</f>
        <v>0.64787852551632674</v>
      </c>
      <c r="K18" s="4"/>
      <c r="L18" s="4">
        <f t="shared" ref="L18:L21" si="8">+D18-H18</f>
        <v>-2719.25</v>
      </c>
      <c r="M18" s="4"/>
      <c r="N18" s="11">
        <f t="shared" ref="N18:N21" si="9">IF(H18=0,0,L18/H18)</f>
        <v>-0.57498181541376281</v>
      </c>
      <c r="O18" s="10"/>
      <c r="P18" s="4">
        <f>SUM(OSRRefP16x_0)</f>
        <v>2010.03</v>
      </c>
      <c r="Q18" s="4"/>
      <c r="R18" s="11">
        <f t="shared" ref="R18:R21" si="10">IF(P$12=0,0,P18/P$12)</f>
        <v>0.33992139646419378</v>
      </c>
      <c r="S18" s="4"/>
      <c r="T18" s="4">
        <f>SUM(OSRRefT16x_0)</f>
        <v>4729.28</v>
      </c>
      <c r="U18" s="4"/>
      <c r="V18" s="11">
        <f t="shared" ref="V18:V21" si="11">IF(T$12=0,0,T18/T$12)</f>
        <v>0.64787852551632674</v>
      </c>
      <c r="W18" s="4"/>
      <c r="X18" s="4">
        <f t="shared" ref="X18:X21" si="12">+P18-T18</f>
        <v>-2719.25</v>
      </c>
      <c r="Y18" s="4"/>
      <c r="Z18" s="11">
        <f t="shared" ref="Z18:Z21" si="13">IF(T18=0,0,X18/T18)</f>
        <v>-0.57498181541376281</v>
      </c>
    </row>
    <row r="19" spans="1:26" s="24" customFormat="1" hidden="1" outlineLevel="1" x14ac:dyDescent="0.3">
      <c r="A19" s="50"/>
      <c r="B19" s="12" t="str">
        <f>CONCATENATE("          ", "5000", " - ", "PURCHASES @ COST")</f>
        <v xml:space="preserve">          5000 - PURCHASES @ COST</v>
      </c>
      <c r="C19" s="12"/>
      <c r="D19" s="3">
        <v>2010.03</v>
      </c>
      <c r="E19" s="3"/>
      <c r="F19" s="22">
        <f t="shared" si="6"/>
        <v>0.33992139646419378</v>
      </c>
      <c r="G19" s="3"/>
      <c r="H19" s="3"/>
      <c r="I19" s="3"/>
      <c r="J19" s="22">
        <f t="shared" si="7"/>
        <v>0</v>
      </c>
      <c r="K19" s="3"/>
      <c r="L19" s="3">
        <f t="shared" si="8"/>
        <v>2010.03</v>
      </c>
      <c r="M19" s="3"/>
      <c r="N19" s="22">
        <f t="shared" si="9"/>
        <v>0</v>
      </c>
      <c r="O19" s="12"/>
      <c r="P19" s="3">
        <v>2010.03</v>
      </c>
      <c r="Q19" s="3"/>
      <c r="R19" s="22">
        <f t="shared" si="10"/>
        <v>0.33992139646419378</v>
      </c>
      <c r="S19" s="3"/>
      <c r="T19" s="3"/>
      <c r="U19" s="3"/>
      <c r="V19" s="22">
        <f t="shared" si="11"/>
        <v>0</v>
      </c>
      <c r="W19" s="3"/>
      <c r="X19" s="3">
        <f t="shared" si="12"/>
        <v>2010.03</v>
      </c>
      <c r="Y19" s="3"/>
      <c r="Z19" s="22">
        <f t="shared" si="13"/>
        <v>0</v>
      </c>
    </row>
    <row r="20" spans="1:26" s="24" customFormat="1" hidden="1" outlineLevel="1" x14ac:dyDescent="0.3">
      <c r="A20" s="50"/>
      <c r="B20" s="12" t="str">
        <f>CONCATENATE("          ", "5001", " - ", "PURCHASES @ COST-NEW TEXT")</f>
        <v xml:space="preserve">          5001 - PURCHASES @ COST-NEW TEXT</v>
      </c>
      <c r="C20" s="12"/>
      <c r="D20" s="3"/>
      <c r="E20" s="3"/>
      <c r="F20" s="22">
        <f t="shared" si="6"/>
        <v>0</v>
      </c>
      <c r="G20" s="3"/>
      <c r="H20" s="3">
        <v>1653.22</v>
      </c>
      <c r="I20" s="3"/>
      <c r="J20" s="22">
        <f t="shared" si="7"/>
        <v>0.22647966201072928</v>
      </c>
      <c r="K20" s="3"/>
      <c r="L20" s="3">
        <f t="shared" si="8"/>
        <v>-1653.22</v>
      </c>
      <c r="M20" s="3"/>
      <c r="N20" s="22">
        <f t="shared" si="9"/>
        <v>-1</v>
      </c>
      <c r="O20" s="12"/>
      <c r="P20" s="3"/>
      <c r="Q20" s="3"/>
      <c r="R20" s="22">
        <f t="shared" si="10"/>
        <v>0</v>
      </c>
      <c r="S20" s="3"/>
      <c r="T20" s="3">
        <v>1653.22</v>
      </c>
      <c r="U20" s="3"/>
      <c r="V20" s="22">
        <f t="shared" si="11"/>
        <v>0.22647966201072928</v>
      </c>
      <c r="W20" s="3"/>
      <c r="X20" s="3">
        <f t="shared" si="12"/>
        <v>-1653.22</v>
      </c>
      <c r="Y20" s="3"/>
      <c r="Z20" s="22">
        <f t="shared" si="13"/>
        <v>-1</v>
      </c>
    </row>
    <row r="21" spans="1:26" s="24" customFormat="1" hidden="1" outlineLevel="1" x14ac:dyDescent="0.3">
      <c r="A21" s="50"/>
      <c r="B21" s="12" t="str">
        <f>CONCATENATE("          ", "5002", " - ", "PURCHASES @ COST-USED TEXT")</f>
        <v xml:space="preserve">          5002 - PURCHASES @ COST-USED TEXT</v>
      </c>
      <c r="C21" s="12"/>
      <c r="D21" s="3"/>
      <c r="E21" s="3"/>
      <c r="F21" s="22">
        <f t="shared" si="6"/>
        <v>0</v>
      </c>
      <c r="G21" s="3"/>
      <c r="H21" s="3">
        <v>3076.06</v>
      </c>
      <c r="I21" s="3"/>
      <c r="J21" s="22">
        <f t="shared" si="7"/>
        <v>0.42139886350559752</v>
      </c>
      <c r="K21" s="3"/>
      <c r="L21" s="3">
        <f t="shared" si="8"/>
        <v>-3076.06</v>
      </c>
      <c r="M21" s="3"/>
      <c r="N21" s="22">
        <f t="shared" si="9"/>
        <v>-1</v>
      </c>
      <c r="O21" s="12"/>
      <c r="P21" s="3"/>
      <c r="Q21" s="3"/>
      <c r="R21" s="22">
        <f t="shared" si="10"/>
        <v>0</v>
      </c>
      <c r="S21" s="3"/>
      <c r="T21" s="3">
        <v>3076.06</v>
      </c>
      <c r="U21" s="3"/>
      <c r="V21" s="22">
        <f t="shared" si="11"/>
        <v>0.42139886350559752</v>
      </c>
      <c r="W21" s="3"/>
      <c r="X21" s="3">
        <f t="shared" si="12"/>
        <v>-3076.06</v>
      </c>
      <c r="Y21" s="3"/>
      <c r="Z21" s="22">
        <f t="shared" si="13"/>
        <v>-1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107</v>
      </c>
      <c r="C23" s="26"/>
      <c r="D23" s="20">
        <f>D12-D18</f>
        <v>3903.1900000000005</v>
      </c>
      <c r="E23" s="13"/>
      <c r="F23" s="21">
        <f>IF(D$12=0,0,D23/D$12)</f>
        <v>0.66007860353580627</v>
      </c>
      <c r="G23" s="13"/>
      <c r="H23" s="20">
        <f>H12-H18</f>
        <v>2570.3600000000006</v>
      </c>
      <c r="I23" s="13"/>
      <c r="J23" s="21">
        <f>IF(H$12=0,0,H23/H$12)</f>
        <v>0.35212147448367326</v>
      </c>
      <c r="K23" s="16"/>
      <c r="L23" s="20">
        <f>+D23-H23</f>
        <v>1332.83</v>
      </c>
      <c r="M23" s="16"/>
      <c r="N23" s="21">
        <f>IF(H23=0,0,L23/H23)</f>
        <v>0.51853825923216967</v>
      </c>
      <c r="O23" s="25"/>
      <c r="P23" s="20">
        <f>P12-P18</f>
        <v>3903.1900000000005</v>
      </c>
      <c r="Q23" s="13"/>
      <c r="R23" s="21">
        <f>IF(P$12=0,0,P23/P$12)</f>
        <v>0.66007860353580627</v>
      </c>
      <c r="S23" s="13"/>
      <c r="T23" s="20">
        <f>T12-T18</f>
        <v>2570.3600000000006</v>
      </c>
      <c r="U23" s="13"/>
      <c r="V23" s="21">
        <f>IF(T$12=0,0,T23/T$12)</f>
        <v>0.35212147448367326</v>
      </c>
      <c r="W23" s="16"/>
      <c r="X23" s="20">
        <f>+P23-T23</f>
        <v>1332.83</v>
      </c>
      <c r="Y23" s="16"/>
      <c r="Z23" s="21">
        <f>IF(T23=0,0,X23/T23)</f>
        <v>0.51853825923216967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294</v>
      </c>
      <c r="C25" s="10"/>
      <c r="D25" s="19">
        <f>SUM(0)</f>
        <v>0</v>
      </c>
      <c r="E25" s="19"/>
      <c r="F25" s="35">
        <f>IF(D$12=0,0,D25/D$12)</f>
        <v>0</v>
      </c>
      <c r="G25" s="19"/>
      <c r="H25" s="19">
        <f>SUM(0)</f>
        <v>0</v>
      </c>
      <c r="I25" s="19"/>
      <c r="J25" s="35">
        <f>IF(H$12=0,0,H25/H$12)</f>
        <v>0</v>
      </c>
      <c r="K25" s="4"/>
      <c r="L25" s="19">
        <f>+D25-H25</f>
        <v>0</v>
      </c>
      <c r="M25" s="4"/>
      <c r="N25" s="35">
        <f>IF(H25=0,0,L25/H25)</f>
        <v>0</v>
      </c>
      <c r="O25" s="10"/>
      <c r="P25" s="19">
        <f>SUM(0)</f>
        <v>0</v>
      </c>
      <c r="Q25" s="19"/>
      <c r="R25" s="35">
        <f>IF(P$12=0,0,P25/P$12)</f>
        <v>0</v>
      </c>
      <c r="S25" s="19"/>
      <c r="T25" s="19">
        <f>SUM(0)</f>
        <v>0</v>
      </c>
      <c r="U25" s="19"/>
      <c r="V25" s="35">
        <f>IF(T$12=0,0,T25/T$12)</f>
        <v>0</v>
      </c>
      <c r="W25" s="4"/>
      <c r="X25" s="19">
        <f>+P25-T25</f>
        <v>0</v>
      </c>
      <c r="Y25" s="4"/>
      <c r="Z25" s="35">
        <f>IF(T25=0,0,X25/T25)</f>
        <v>0</v>
      </c>
    </row>
    <row r="26" spans="1:26" s="53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292</v>
      </c>
      <c r="C27" s="10"/>
      <c r="D27" s="4">
        <f>SUM(0)</f>
        <v>0</v>
      </c>
      <c r="E27" s="4"/>
      <c r="F27" s="11">
        <f>IF(D$12=0,0,D27/D$12)</f>
        <v>0</v>
      </c>
      <c r="G27" s="4"/>
      <c r="H27" s="4">
        <f>SUM(0)</f>
        <v>0</v>
      </c>
      <c r="I27" s="4"/>
      <c r="J27" s="11">
        <f>IF(H$12=0,0,H27/H$12)</f>
        <v>0</v>
      </c>
      <c r="K27" s="4"/>
      <c r="L27" s="4">
        <f>+D27-H27</f>
        <v>0</v>
      </c>
      <c r="M27" s="4"/>
      <c r="N27" s="11">
        <f>IF(H27=0,0,L27/H27)</f>
        <v>0</v>
      </c>
      <c r="O27" s="10"/>
      <c r="P27" s="4">
        <f>SUM(0)</f>
        <v>0</v>
      </c>
      <c r="Q27" s="4"/>
      <c r="R27" s="11">
        <f>IF(P$12=0,0,P27/P$12)</f>
        <v>0</v>
      </c>
      <c r="S27" s="4"/>
      <c r="T27" s="4">
        <f>SUM(0)</f>
        <v>0</v>
      </c>
      <c r="U27" s="4"/>
      <c r="V27" s="11">
        <f>IF(T$12=0,0,T27/T$12)</f>
        <v>0</v>
      </c>
      <c r="W27" s="4"/>
      <c r="X27" s="4">
        <f>+P27-T27</f>
        <v>0</v>
      </c>
      <c r="Y27" s="4"/>
      <c r="Z27" s="11">
        <f>IF(T27=0,0,X27/T27)</f>
        <v>0</v>
      </c>
    </row>
    <row r="28" spans="1:26" x14ac:dyDescent="0.3">
      <c r="A28" s="9"/>
      <c r="B28" s="10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10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10"/>
      <c r="B29" s="26" t="s">
        <v>276</v>
      </c>
      <c r="C29" s="26"/>
      <c r="D29" s="20">
        <f>+D23-D25+D27</f>
        <v>3903.1900000000005</v>
      </c>
      <c r="E29" s="13"/>
      <c r="F29" s="21">
        <f>IF(D$12=0,0,D29/D$12)</f>
        <v>0.66007860353580627</v>
      </c>
      <c r="G29" s="13"/>
      <c r="H29" s="20">
        <f>+H23-H25+H27</f>
        <v>2570.3600000000006</v>
      </c>
      <c r="I29" s="13"/>
      <c r="J29" s="21">
        <f>IF(H$12=0,0,H29/H$12)</f>
        <v>0.35212147448367326</v>
      </c>
      <c r="K29" s="16"/>
      <c r="L29" s="20">
        <f>+D29-H29</f>
        <v>1332.83</v>
      </c>
      <c r="M29" s="16"/>
      <c r="N29" s="21">
        <f>IF(H29=0,0,L29/H29)</f>
        <v>0.51853825923216967</v>
      </c>
      <c r="O29" s="25"/>
      <c r="P29" s="20">
        <f>+P23-P25+P27</f>
        <v>3903.1900000000005</v>
      </c>
      <c r="Q29" s="13"/>
      <c r="R29" s="21">
        <f>IF(P$12=0,0,P29/P$12)</f>
        <v>0.66007860353580627</v>
      </c>
      <c r="S29" s="13"/>
      <c r="T29" s="20">
        <f>+T23-T25+T27</f>
        <v>2570.3600000000006</v>
      </c>
      <c r="U29" s="13"/>
      <c r="V29" s="21">
        <f>IF(T$12=0,0,T29/T$12)</f>
        <v>0.35212147448367326</v>
      </c>
      <c r="W29" s="16"/>
      <c r="X29" s="20">
        <f>+P29-T29</f>
        <v>1332.83</v>
      </c>
      <c r="Y29" s="16"/>
      <c r="Z29" s="21">
        <f>IF(T29=0,0,X29/T29)</f>
        <v>0.51853825923216967</v>
      </c>
    </row>
    <row r="30" spans="1:26" x14ac:dyDescent="0.3">
      <c r="A30" s="9"/>
      <c r="B30" s="10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x14ac:dyDescent="0.3">
      <c r="A31" s="51"/>
      <c r="B31" s="10" t="s">
        <v>127</v>
      </c>
      <c r="C31" s="10"/>
      <c r="D31" s="4">
        <v>2731.88</v>
      </c>
      <c r="E31" s="4"/>
      <c r="F31" s="11">
        <f>IF(D$12=0,0,D31/D$12)</f>
        <v>0.46199532572777607</v>
      </c>
      <c r="G31" s="4"/>
      <c r="H31" s="4">
        <v>3510.74</v>
      </c>
      <c r="I31" s="4"/>
      <c r="J31" s="11">
        <f>IF(H$12=0,0,H31/H$12)</f>
        <v>0.48094700560575587</v>
      </c>
      <c r="K31" s="4"/>
      <c r="L31" s="4">
        <f>+D31-H31</f>
        <v>-778.85999999999967</v>
      </c>
      <c r="M31" s="4"/>
      <c r="N31" s="11">
        <f>IF(H31=0,0,L31/H31)</f>
        <v>-0.22185066396258329</v>
      </c>
      <c r="O31" s="10"/>
      <c r="P31" s="4">
        <v>2731.88</v>
      </c>
      <c r="Q31" s="4"/>
      <c r="R31" s="11">
        <f>IF(P$12=0,0,P31/P$12)</f>
        <v>0.46199532572777607</v>
      </c>
      <c r="S31" s="4"/>
      <c r="T31" s="4">
        <v>3510.74</v>
      </c>
      <c r="U31" s="4"/>
      <c r="V31" s="11">
        <f>IF(T$12=0,0,T31/T$12)</f>
        <v>0.48094700560575587</v>
      </c>
      <c r="W31" s="4"/>
      <c r="X31" s="4">
        <f>+P31-T31</f>
        <v>-778.85999999999967</v>
      </c>
      <c r="Y31" s="4"/>
      <c r="Z31" s="11">
        <f>IF(T31=0,0,X31/T31)</f>
        <v>-0.22185066396258329</v>
      </c>
    </row>
    <row r="32" spans="1:26" x14ac:dyDescent="0.3">
      <c r="A32" s="9"/>
      <c r="B32" s="10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10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ht="15" thickBot="1" x14ac:dyDescent="0.35">
      <c r="A33" s="10"/>
      <c r="B33" s="26" t="s">
        <v>125</v>
      </c>
      <c r="C33" s="26"/>
      <c r="D33" s="36">
        <f>+D29-D31</f>
        <v>1171.3100000000004</v>
      </c>
      <c r="E33" s="13"/>
      <c r="F33" s="34">
        <f>IF(D$12=0,0,D33/D$12)</f>
        <v>0.1980832778080302</v>
      </c>
      <c r="G33" s="13"/>
      <c r="H33" s="36">
        <f>+H29-H31</f>
        <v>-940.3799999999992</v>
      </c>
      <c r="I33" s="13"/>
      <c r="J33" s="34">
        <f>IF(H$12=0,0,H33/H$12)</f>
        <v>-0.12882553112208261</v>
      </c>
      <c r="K33" s="16"/>
      <c r="L33" s="36">
        <f>D33-H33</f>
        <v>2111.6899999999996</v>
      </c>
      <c r="M33" s="16"/>
      <c r="N33" s="34">
        <f>IF(H33=0,0,L33/H33)</f>
        <v>-2.2455709394074752</v>
      </c>
      <c r="O33" s="25"/>
      <c r="P33" s="36">
        <f>+P29-P31</f>
        <v>1171.3100000000004</v>
      </c>
      <c r="Q33" s="13"/>
      <c r="R33" s="34">
        <f>IF(P$12=0,0,P33/P$12)</f>
        <v>0.1980832778080302</v>
      </c>
      <c r="S33" s="13"/>
      <c r="T33" s="36">
        <f>+T29-T31</f>
        <v>-940.3799999999992</v>
      </c>
      <c r="U33" s="13"/>
      <c r="V33" s="34">
        <f>IF(T$12=0,0,T33/T$12)</f>
        <v>-0.12882553112208261</v>
      </c>
      <c r="W33" s="16"/>
      <c r="X33" s="36">
        <f>P33-T33</f>
        <v>2111.6899999999996</v>
      </c>
      <c r="Y33" s="16"/>
      <c r="Z33" s="34">
        <f>IF(T33=0,0,X33/T33)</f>
        <v>-2.2455709394074752</v>
      </c>
    </row>
    <row r="34" spans="1:26" ht="15" thickTop="1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>
        <f>SUM(D33:D35)</f>
        <v>1171.3100000000004</v>
      </c>
      <c r="E36" s="13"/>
      <c r="F36" s="33">
        <f>IF(D$12=0,0,D36/D$12)</f>
        <v>0.1980832778080302</v>
      </c>
      <c r="G36" s="13"/>
      <c r="H36" s="31">
        <f>SUM(H33:H35)</f>
        <v>-940.3799999999992</v>
      </c>
      <c r="I36" s="13"/>
      <c r="J36" s="33">
        <f>IF(H$12=0,0,H36/H$12)</f>
        <v>-0.12882553112208261</v>
      </c>
      <c r="K36" s="16"/>
      <c r="L36" s="31">
        <f>+D36-H36</f>
        <v>2111.6899999999996</v>
      </c>
      <c r="M36" s="16"/>
      <c r="N36" s="33">
        <f>IF(H36=0,0,L36/H36)</f>
        <v>-2.2455709394074752</v>
      </c>
      <c r="O36" s="25"/>
      <c r="P36" s="31">
        <f>SUM(P33:P35)</f>
        <v>1171.3100000000004</v>
      </c>
      <c r="Q36" s="13"/>
      <c r="R36" s="33">
        <f>IF(P$12=0,0,P36/P$12)</f>
        <v>0.1980832778080302</v>
      </c>
      <c r="S36" s="13"/>
      <c r="T36" s="31">
        <f>SUM(T33:T35)</f>
        <v>-940.3799999999992</v>
      </c>
      <c r="U36" s="13"/>
      <c r="V36" s="33">
        <f>IF(T$12=0,0,T36/T$12)</f>
        <v>-0.12882553112208261</v>
      </c>
      <c r="W36" s="16"/>
      <c r="X36" s="31">
        <f>+P36-T36</f>
        <v>2111.6899999999996</v>
      </c>
      <c r="Y36" s="16"/>
      <c r="Z36" s="33">
        <f>IF(T36=0,0,X36/T36)</f>
        <v>-2.2455709394074752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>
        <v>44462.666945868055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s">
        <v>56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155851.6</v>
      </c>
      <c r="E12" s="4"/>
      <c r="F12" s="11"/>
      <c r="G12" s="4"/>
      <c r="H12" s="4">
        <f>SUM(OSRRefH13x_0)</f>
        <v>174780.81999999998</v>
      </c>
      <c r="I12" s="4"/>
      <c r="J12" s="11"/>
      <c r="K12" s="4"/>
      <c r="L12" s="4">
        <f t="shared" ref="L12:L48" si="0">+D12-H12</f>
        <v>-18929.219999999972</v>
      </c>
      <c r="M12" s="4"/>
      <c r="N12" s="11">
        <f t="shared" ref="N12:N48" si="1">IF(H12=0,0,L12/H12)</f>
        <v>-0.10830261581333681</v>
      </c>
      <c r="O12" s="10"/>
      <c r="P12" s="4">
        <f>SUM(OSRRefP13x_0)</f>
        <v>155851.6</v>
      </c>
      <c r="Q12" s="4"/>
      <c r="R12" s="11"/>
      <c r="S12" s="4"/>
      <c r="T12" s="4">
        <f>SUM(OSRRefT13x_0)</f>
        <v>174780.81999999998</v>
      </c>
      <c r="U12" s="4"/>
      <c r="V12" s="11"/>
      <c r="W12" s="4"/>
      <c r="X12" s="4">
        <f t="shared" ref="X12:X48" si="2">+P12-T12</f>
        <v>-18929.219999999972</v>
      </c>
      <c r="Y12" s="4"/>
      <c r="Z12" s="11">
        <f t="shared" ref="Z12:Z48" si="3">IF(T12=0,0,X12/T12)</f>
        <v>-0.10830261581333681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--150984.27</f>
        <v>150984.26999999999</v>
      </c>
      <c r="E13" s="3"/>
      <c r="F13" s="22"/>
      <c r="G13" s="3"/>
      <c r="H13" s="3">
        <f>-9953.39</f>
        <v>-9953.39</v>
      </c>
      <c r="I13" s="3"/>
      <c r="J13" s="22"/>
      <c r="K13" s="3"/>
      <c r="L13" s="3">
        <f t="shared" si="0"/>
        <v>160937.65999999997</v>
      </c>
      <c r="M13" s="3"/>
      <c r="N13" s="22">
        <f t="shared" si="1"/>
        <v>-16.169130316404761</v>
      </c>
      <c r="O13" s="12"/>
      <c r="P13" s="3">
        <f>--150984.27</f>
        <v>150984.26999999999</v>
      </c>
      <c r="Q13" s="3"/>
      <c r="R13" s="22"/>
      <c r="S13" s="3"/>
      <c r="T13" s="3">
        <f>-9953.39</f>
        <v>-9953.39</v>
      </c>
      <c r="U13" s="3"/>
      <c r="V13" s="22"/>
      <c r="W13" s="3"/>
      <c r="X13" s="3">
        <f t="shared" si="2"/>
        <v>160937.65999999997</v>
      </c>
      <c r="Y13" s="3"/>
      <c r="Z13" s="22">
        <f t="shared" si="3"/>
        <v>-16.169130316404761</v>
      </c>
    </row>
    <row r="14" spans="1:26" s="24" customFormat="1" hidden="1" outlineLevel="1" x14ac:dyDescent="0.3">
      <c r="A14" s="50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 t="shared" ref="D14:D24" si="4">0</f>
        <v>0</v>
      </c>
      <c r="E14" s="3"/>
      <c r="F14" s="22"/>
      <c r="G14" s="3"/>
      <c r="H14" s="3">
        <f>--236.56</f>
        <v>236.56</v>
      </c>
      <c r="I14" s="3"/>
      <c r="J14" s="22"/>
      <c r="K14" s="3"/>
      <c r="L14" s="3">
        <f t="shared" si="0"/>
        <v>-236.56</v>
      </c>
      <c r="M14" s="3"/>
      <c r="N14" s="22">
        <f t="shared" si="1"/>
        <v>-1</v>
      </c>
      <c r="O14" s="12"/>
      <c r="P14" s="3">
        <f t="shared" ref="P14:P24" si="5">0</f>
        <v>0</v>
      </c>
      <c r="Q14" s="3"/>
      <c r="R14" s="22"/>
      <c r="S14" s="3"/>
      <c r="T14" s="3">
        <f>--236.56</f>
        <v>236.56</v>
      </c>
      <c r="U14" s="3"/>
      <c r="V14" s="22"/>
      <c r="W14" s="3"/>
      <c r="X14" s="3">
        <f t="shared" si="2"/>
        <v>-236.56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"4027", " - ", "TAXABLE SALES-SCHOOL SUPPLIES")</f>
        <v xml:space="preserve">          4027 - TAXABLE SALES-SCHOOL SUPPLIES</v>
      </c>
      <c r="C15" s="12"/>
      <c r="D15" s="3">
        <f t="shared" si="4"/>
        <v>0</v>
      </c>
      <c r="E15" s="3"/>
      <c r="F15" s="22"/>
      <c r="G15" s="3"/>
      <c r="H15" s="3">
        <f>--1653.17</f>
        <v>1653.17</v>
      </c>
      <c r="I15" s="3"/>
      <c r="J15" s="22"/>
      <c r="K15" s="3"/>
      <c r="L15" s="3">
        <f t="shared" si="0"/>
        <v>-1653.17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--1653.17</f>
        <v>1653.17</v>
      </c>
      <c r="U15" s="3"/>
      <c r="V15" s="22"/>
      <c r="W15" s="3"/>
      <c r="X15" s="3">
        <f t="shared" si="2"/>
        <v>-1653.17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"4028", " - ", "TAXABLE SALES-ART/TECH")</f>
        <v xml:space="preserve">          4028 - TAXABLE SALES-ART/TECH</v>
      </c>
      <c r="C16" s="12"/>
      <c r="D16" s="3">
        <f t="shared" si="4"/>
        <v>0</v>
      </c>
      <c r="E16" s="3"/>
      <c r="F16" s="22"/>
      <c r="G16" s="3"/>
      <c r="H16" s="3">
        <f>--19.85</f>
        <v>19.850000000000001</v>
      </c>
      <c r="I16" s="3"/>
      <c r="J16" s="22"/>
      <c r="K16" s="3"/>
      <c r="L16" s="3">
        <f t="shared" si="0"/>
        <v>-19.850000000000001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--19.85</f>
        <v>19.850000000000001</v>
      </c>
      <c r="U16" s="3"/>
      <c r="V16" s="22"/>
      <c r="W16" s="3"/>
      <c r="X16" s="3">
        <f t="shared" si="2"/>
        <v>-19.850000000000001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"4031", " - ", "TAXABLE SALES-FOOD")</f>
        <v xml:space="preserve">          4031 - TAXABLE SALES-FOOD</v>
      </c>
      <c r="C17" s="12"/>
      <c r="D17" s="3">
        <f t="shared" si="4"/>
        <v>0</v>
      </c>
      <c r="E17" s="3"/>
      <c r="F17" s="22"/>
      <c r="G17" s="3"/>
      <c r="H17" s="3">
        <f>--19.75</f>
        <v>19.75</v>
      </c>
      <c r="I17" s="3"/>
      <c r="J17" s="22"/>
      <c r="K17" s="3"/>
      <c r="L17" s="3">
        <f t="shared" si="0"/>
        <v>-19.75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--19.75</f>
        <v>19.75</v>
      </c>
      <c r="U17" s="3"/>
      <c r="V17" s="22"/>
      <c r="W17" s="3"/>
      <c r="X17" s="3">
        <f t="shared" si="2"/>
        <v>-19.75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"4034", " - ", "TAXABLE SALES-SODA")</f>
        <v xml:space="preserve">          4034 - TAXABLE SALES-SODA</v>
      </c>
      <c r="C18" s="12"/>
      <c r="D18" s="3">
        <f t="shared" si="4"/>
        <v>0</v>
      </c>
      <c r="E18" s="3"/>
      <c r="F18" s="22"/>
      <c r="G18" s="3"/>
      <c r="H18" s="3">
        <f>--6.78</f>
        <v>6.78</v>
      </c>
      <c r="I18" s="3"/>
      <c r="J18" s="22"/>
      <c r="K18" s="3"/>
      <c r="L18" s="3">
        <f t="shared" si="0"/>
        <v>-6.78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--6.78</f>
        <v>6.78</v>
      </c>
      <c r="U18" s="3"/>
      <c r="V18" s="22"/>
      <c r="W18" s="3"/>
      <c r="X18" s="3">
        <f t="shared" si="2"/>
        <v>-6.78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"4040", " - ", "TAXABLE SALES-LOGO CLOTHING")</f>
        <v xml:space="preserve">          4040 - TAXABLE SALES-LOGO CLOTHING</v>
      </c>
      <c r="C19" s="12"/>
      <c r="D19" s="3">
        <f t="shared" si="4"/>
        <v>0</v>
      </c>
      <c r="E19" s="3"/>
      <c r="F19" s="22"/>
      <c r="G19" s="3"/>
      <c r="H19" s="3">
        <f>--72292.26</f>
        <v>72292.259999999995</v>
      </c>
      <c r="I19" s="3"/>
      <c r="J19" s="22"/>
      <c r="K19" s="3"/>
      <c r="L19" s="3">
        <f t="shared" si="0"/>
        <v>-72292.259999999995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--72292.26</f>
        <v>72292.259999999995</v>
      </c>
      <c r="U19" s="3"/>
      <c r="V19" s="22"/>
      <c r="W19" s="3"/>
      <c r="X19" s="3">
        <f t="shared" si="2"/>
        <v>-72292.259999999995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"4041", " - ", "TAXABLE SALES-LOGO GIFTS")</f>
        <v xml:space="preserve">          4041 - TAXABLE SALES-LOGO GIFTS</v>
      </c>
      <c r="C20" s="12"/>
      <c r="D20" s="3">
        <f t="shared" si="4"/>
        <v>0</v>
      </c>
      <c r="E20" s="3"/>
      <c r="F20" s="22"/>
      <c r="G20" s="3"/>
      <c r="H20" s="3">
        <f>--20103.31</f>
        <v>20103.310000000001</v>
      </c>
      <c r="I20" s="3"/>
      <c r="J20" s="22"/>
      <c r="K20" s="3"/>
      <c r="L20" s="3">
        <f t="shared" si="0"/>
        <v>-20103.310000000001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--20103.31</f>
        <v>20103.310000000001</v>
      </c>
      <c r="U20" s="3"/>
      <c r="V20" s="22"/>
      <c r="W20" s="3"/>
      <c r="X20" s="3">
        <f t="shared" si="2"/>
        <v>-20103.310000000001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"4042", " - ", "TAXABLE SALES-EVERYDAY GIFTS")</f>
        <v xml:space="preserve">          4042 - TAXABLE SALES-EVERYDAY GIFTS</v>
      </c>
      <c r="C21" s="12"/>
      <c r="D21" s="3">
        <f t="shared" si="4"/>
        <v>0</v>
      </c>
      <c r="E21" s="3"/>
      <c r="F21" s="22"/>
      <c r="G21" s="3"/>
      <c r="H21" s="3">
        <f>--5753.38</f>
        <v>5753.38</v>
      </c>
      <c r="I21" s="3"/>
      <c r="J21" s="22"/>
      <c r="K21" s="3"/>
      <c r="L21" s="3">
        <f t="shared" si="0"/>
        <v>-5753.38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--5753.38</f>
        <v>5753.38</v>
      </c>
      <c r="U21" s="3"/>
      <c r="V21" s="22"/>
      <c r="W21" s="3"/>
      <c r="X21" s="3">
        <f t="shared" si="2"/>
        <v>-5753.38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"4043", " - ", "TAXABLE SALES-CARDS")</f>
        <v xml:space="preserve">          4043 - TAXABLE SALES-CARDS</v>
      </c>
      <c r="C22" s="12"/>
      <c r="D22" s="3">
        <f t="shared" si="4"/>
        <v>0</v>
      </c>
      <c r="E22" s="3"/>
      <c r="F22" s="22"/>
      <c r="G22" s="3"/>
      <c r="H22" s="3">
        <f>--217.36</f>
        <v>217.36</v>
      </c>
      <c r="I22" s="3"/>
      <c r="J22" s="22"/>
      <c r="K22" s="3"/>
      <c r="L22" s="3">
        <f t="shared" si="0"/>
        <v>-217.36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--217.36</f>
        <v>217.36</v>
      </c>
      <c r="U22" s="3"/>
      <c r="V22" s="22"/>
      <c r="W22" s="3"/>
      <c r="X22" s="3">
        <f t="shared" si="2"/>
        <v>-217.36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"4044", " - ", "TAXABLE SALES-ACCESSORIES")</f>
        <v xml:space="preserve">          4044 - TAXABLE SALES-ACCESSORIES</v>
      </c>
      <c r="C23" s="12"/>
      <c r="D23" s="3">
        <f t="shared" si="4"/>
        <v>0</v>
      </c>
      <c r="E23" s="3"/>
      <c r="F23" s="22"/>
      <c r="G23" s="3"/>
      <c r="H23" s="3">
        <f>--1800.68</f>
        <v>1800.68</v>
      </c>
      <c r="I23" s="3"/>
      <c r="J23" s="22"/>
      <c r="K23" s="3"/>
      <c r="L23" s="3">
        <f t="shared" si="0"/>
        <v>-1800.68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--1800.68</f>
        <v>1800.68</v>
      </c>
      <c r="U23" s="3"/>
      <c r="V23" s="22"/>
      <c r="W23" s="3"/>
      <c r="X23" s="3">
        <f t="shared" si="2"/>
        <v>-1800.68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"4045", " - ", "TAXABLE SALES-SPECIAL ORDERS")</f>
        <v xml:space="preserve">          4045 - TAXABLE SALES-SPECIAL ORDERS</v>
      </c>
      <c r="C24" s="12"/>
      <c r="D24" s="3">
        <f t="shared" si="4"/>
        <v>0</v>
      </c>
      <c r="E24" s="3"/>
      <c r="F24" s="22"/>
      <c r="G24" s="3"/>
      <c r="H24" s="3">
        <f>--43426.73</f>
        <v>43426.73</v>
      </c>
      <c r="I24" s="3"/>
      <c r="J24" s="22"/>
      <c r="K24" s="3"/>
      <c r="L24" s="3">
        <f t="shared" si="0"/>
        <v>-43426.73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--43426.73</f>
        <v>43426.73</v>
      </c>
      <c r="U24" s="3"/>
      <c r="V24" s="22"/>
      <c r="W24" s="3"/>
      <c r="X24" s="3">
        <f t="shared" si="2"/>
        <v>-43426.73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"4100", " - ", "NON-TAXABLE SALES")</f>
        <v xml:space="preserve">          4100 - NON-TAXABLE SALES</v>
      </c>
      <c r="C25" s="12"/>
      <c r="D25" s="3">
        <f>--9632.79</f>
        <v>9632.7900000000009</v>
      </c>
      <c r="E25" s="3"/>
      <c r="F25" s="22"/>
      <c r="G25" s="3"/>
      <c r="H25" s="3">
        <f>0</f>
        <v>0</v>
      </c>
      <c r="I25" s="3"/>
      <c r="J25" s="22"/>
      <c r="K25" s="3"/>
      <c r="L25" s="3">
        <f t="shared" si="0"/>
        <v>9632.7900000000009</v>
      </c>
      <c r="M25" s="3"/>
      <c r="N25" s="22">
        <f t="shared" si="1"/>
        <v>0</v>
      </c>
      <c r="O25" s="12"/>
      <c r="P25" s="3">
        <f>--9632.79</f>
        <v>9632.7900000000009</v>
      </c>
      <c r="Q25" s="3"/>
      <c r="R25" s="22"/>
      <c r="S25" s="3"/>
      <c r="T25" s="3">
        <f>0</f>
        <v>0</v>
      </c>
      <c r="U25" s="3"/>
      <c r="V25" s="22"/>
      <c r="W25" s="3"/>
      <c r="X25" s="3">
        <f t="shared" si="2"/>
        <v>9632.7900000000009</v>
      </c>
      <c r="Y25" s="3"/>
      <c r="Z25" s="22">
        <f t="shared" si="3"/>
        <v>0</v>
      </c>
    </row>
    <row r="26" spans="1:26" s="24" customFormat="1" hidden="1" outlineLevel="1" x14ac:dyDescent="0.3">
      <c r="A26" s="50"/>
      <c r="B26" s="12" t="str">
        <f>CONCATENATE("          ", "4126", " - ", "NON-TAXABLE SALES-WRITING INST")</f>
        <v xml:space="preserve">          4126 - NON-TAXABLE SALES-WRITING INST</v>
      </c>
      <c r="C26" s="12"/>
      <c r="D26" s="3">
        <f t="shared" ref="D26:D37" si="6">0</f>
        <v>0</v>
      </c>
      <c r="E26" s="3"/>
      <c r="F26" s="22"/>
      <c r="G26" s="3"/>
      <c r="H26" s="3">
        <f>--52.68</f>
        <v>52.68</v>
      </c>
      <c r="I26" s="3"/>
      <c r="J26" s="22"/>
      <c r="K26" s="3"/>
      <c r="L26" s="3">
        <f t="shared" si="0"/>
        <v>-52.68</v>
      </c>
      <c r="M26" s="3"/>
      <c r="N26" s="22">
        <f t="shared" si="1"/>
        <v>-1</v>
      </c>
      <c r="O26" s="12"/>
      <c r="P26" s="3">
        <f t="shared" ref="P26:P37" si="7">0</f>
        <v>0</v>
      </c>
      <c r="Q26" s="3"/>
      <c r="R26" s="22"/>
      <c r="S26" s="3"/>
      <c r="T26" s="3">
        <f>--52.68</f>
        <v>52.68</v>
      </c>
      <c r="U26" s="3"/>
      <c r="V26" s="22"/>
      <c r="W26" s="3"/>
      <c r="X26" s="3">
        <f t="shared" si="2"/>
        <v>-52.68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"4127", " - ", "NON-TAXABLE SALES-SCHOOL SUPPL")</f>
        <v xml:space="preserve">          4127 - NON-TAXABLE SALES-SCHOOL SUPPL</v>
      </c>
      <c r="C27" s="12"/>
      <c r="D27" s="3">
        <f t="shared" si="6"/>
        <v>0</v>
      </c>
      <c r="E27" s="3"/>
      <c r="F27" s="22"/>
      <c r="G27" s="3"/>
      <c r="H27" s="3">
        <f>--72.25</f>
        <v>72.25</v>
      </c>
      <c r="I27" s="3"/>
      <c r="J27" s="22"/>
      <c r="K27" s="3"/>
      <c r="L27" s="3">
        <f t="shared" si="0"/>
        <v>-72.25</v>
      </c>
      <c r="M27" s="3"/>
      <c r="N27" s="22">
        <f t="shared" si="1"/>
        <v>-1</v>
      </c>
      <c r="O27" s="12"/>
      <c r="P27" s="3">
        <f t="shared" si="7"/>
        <v>0</v>
      </c>
      <c r="Q27" s="3"/>
      <c r="R27" s="22"/>
      <c r="S27" s="3"/>
      <c r="T27" s="3">
        <f>--72.25</f>
        <v>72.25</v>
      </c>
      <c r="U27" s="3"/>
      <c r="V27" s="22"/>
      <c r="W27" s="3"/>
      <c r="X27" s="3">
        <f t="shared" si="2"/>
        <v>-72.25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"4131", " - ", "NON-TAXABLE SALES-FOOD")</f>
        <v xml:space="preserve">          4131 - NON-TAXABLE SALES-FOOD</v>
      </c>
      <c r="C28" s="12"/>
      <c r="D28" s="3">
        <f t="shared" si="6"/>
        <v>0</v>
      </c>
      <c r="E28" s="3"/>
      <c r="F28" s="22"/>
      <c r="G28" s="3"/>
      <c r="H28" s="3">
        <f>--259.43</f>
        <v>259.43</v>
      </c>
      <c r="I28" s="3"/>
      <c r="J28" s="22"/>
      <c r="K28" s="3"/>
      <c r="L28" s="3">
        <f t="shared" si="0"/>
        <v>-259.43</v>
      </c>
      <c r="M28" s="3"/>
      <c r="N28" s="22">
        <f t="shared" si="1"/>
        <v>-1</v>
      </c>
      <c r="O28" s="12"/>
      <c r="P28" s="3">
        <f t="shared" si="7"/>
        <v>0</v>
      </c>
      <c r="Q28" s="3"/>
      <c r="R28" s="22"/>
      <c r="S28" s="3"/>
      <c r="T28" s="3">
        <f>--259.43</f>
        <v>259.43</v>
      </c>
      <c r="U28" s="3"/>
      <c r="V28" s="22"/>
      <c r="W28" s="3"/>
      <c r="X28" s="3">
        <f t="shared" si="2"/>
        <v>-259.43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"4132", " - ", "NON-TAXABLE SALES-JUICE")</f>
        <v xml:space="preserve">          4132 - NON-TAXABLE SALES-JUICE</v>
      </c>
      <c r="C29" s="12"/>
      <c r="D29" s="3">
        <f t="shared" si="6"/>
        <v>0</v>
      </c>
      <c r="E29" s="3"/>
      <c r="F29" s="22"/>
      <c r="G29" s="3"/>
      <c r="H29" s="3">
        <f>--22.49</f>
        <v>22.49</v>
      </c>
      <c r="I29" s="3"/>
      <c r="J29" s="22"/>
      <c r="K29" s="3"/>
      <c r="L29" s="3">
        <f t="shared" si="0"/>
        <v>-22.49</v>
      </c>
      <c r="M29" s="3"/>
      <c r="N29" s="22">
        <f t="shared" si="1"/>
        <v>-1</v>
      </c>
      <c r="O29" s="12"/>
      <c r="P29" s="3">
        <f t="shared" si="7"/>
        <v>0</v>
      </c>
      <c r="Q29" s="3"/>
      <c r="R29" s="22"/>
      <c r="S29" s="3"/>
      <c r="T29" s="3">
        <f>--22.49</f>
        <v>22.49</v>
      </c>
      <c r="U29" s="3"/>
      <c r="V29" s="22"/>
      <c r="W29" s="3"/>
      <c r="X29" s="3">
        <f t="shared" si="2"/>
        <v>-22.49</v>
      </c>
      <c r="Y29" s="3"/>
      <c r="Z29" s="22">
        <f t="shared" si="3"/>
        <v>-1</v>
      </c>
    </row>
    <row r="30" spans="1:26" s="24" customFormat="1" hidden="1" outlineLevel="1" x14ac:dyDescent="0.3">
      <c r="A30" s="50"/>
      <c r="B30" s="12" t="str">
        <f>CONCATENATE("          ", "4133", " - ", "NON-TAXABLE SALES-CANDY")</f>
        <v xml:space="preserve">          4133 - NON-TAXABLE SALES-CANDY</v>
      </c>
      <c r="C30" s="12"/>
      <c r="D30" s="3">
        <f t="shared" si="6"/>
        <v>0</v>
      </c>
      <c r="E30" s="3"/>
      <c r="F30" s="22"/>
      <c r="G30" s="3"/>
      <c r="H30" s="3">
        <f>--68.28</f>
        <v>68.28</v>
      </c>
      <c r="I30" s="3"/>
      <c r="J30" s="22"/>
      <c r="K30" s="3"/>
      <c r="L30" s="3">
        <f t="shared" si="0"/>
        <v>-68.28</v>
      </c>
      <c r="M30" s="3"/>
      <c r="N30" s="22">
        <f t="shared" si="1"/>
        <v>-1</v>
      </c>
      <c r="O30" s="12"/>
      <c r="P30" s="3">
        <f t="shared" si="7"/>
        <v>0</v>
      </c>
      <c r="Q30" s="3"/>
      <c r="R30" s="22"/>
      <c r="S30" s="3"/>
      <c r="T30" s="3">
        <f>--68.28</f>
        <v>68.28</v>
      </c>
      <c r="U30" s="3"/>
      <c r="V30" s="22"/>
      <c r="W30" s="3"/>
      <c r="X30" s="3">
        <f t="shared" si="2"/>
        <v>-68.28</v>
      </c>
      <c r="Y30" s="3"/>
      <c r="Z30" s="22">
        <f t="shared" si="3"/>
        <v>-1</v>
      </c>
    </row>
    <row r="31" spans="1:26" s="24" customFormat="1" hidden="1" outlineLevel="1" x14ac:dyDescent="0.3">
      <c r="A31" s="50"/>
      <c r="B31" s="12" t="str">
        <f>CONCATENATE("          ", "4134", " - ", "NON-TAXABLE SALES-SODA")</f>
        <v xml:space="preserve">          4134 - NON-TAXABLE SALES-SODA</v>
      </c>
      <c r="C31" s="12"/>
      <c r="D31" s="3">
        <f t="shared" si="6"/>
        <v>0</v>
      </c>
      <c r="E31" s="3"/>
      <c r="F31" s="22"/>
      <c r="G31" s="3"/>
      <c r="H31" s="3">
        <f>--45.53</f>
        <v>45.53</v>
      </c>
      <c r="I31" s="3"/>
      <c r="J31" s="22"/>
      <c r="K31" s="3"/>
      <c r="L31" s="3">
        <f t="shared" si="0"/>
        <v>-45.53</v>
      </c>
      <c r="M31" s="3"/>
      <c r="N31" s="22">
        <f t="shared" si="1"/>
        <v>-1</v>
      </c>
      <c r="O31" s="12"/>
      <c r="P31" s="3">
        <f t="shared" si="7"/>
        <v>0</v>
      </c>
      <c r="Q31" s="3"/>
      <c r="R31" s="22"/>
      <c r="S31" s="3"/>
      <c r="T31" s="3">
        <f>--45.53</f>
        <v>45.53</v>
      </c>
      <c r="U31" s="3"/>
      <c r="V31" s="22"/>
      <c r="W31" s="3"/>
      <c r="X31" s="3">
        <f t="shared" si="2"/>
        <v>-45.53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"4137", " - ", "NON-TAXABLE SALES-WATER")</f>
        <v xml:space="preserve">          4137 - NON-TAXABLE SALES-WATER</v>
      </c>
      <c r="C32" s="12"/>
      <c r="D32" s="3">
        <f t="shared" si="6"/>
        <v>0</v>
      </c>
      <c r="E32" s="3"/>
      <c r="F32" s="22"/>
      <c r="G32" s="3"/>
      <c r="H32" s="3">
        <f>--68.25</f>
        <v>68.25</v>
      </c>
      <c r="I32" s="3"/>
      <c r="J32" s="22"/>
      <c r="K32" s="3"/>
      <c r="L32" s="3">
        <f t="shared" si="0"/>
        <v>-68.25</v>
      </c>
      <c r="M32" s="3"/>
      <c r="N32" s="22">
        <f t="shared" si="1"/>
        <v>-1</v>
      </c>
      <c r="O32" s="12"/>
      <c r="P32" s="3">
        <f t="shared" si="7"/>
        <v>0</v>
      </c>
      <c r="Q32" s="3"/>
      <c r="R32" s="22"/>
      <c r="S32" s="3"/>
      <c r="T32" s="3">
        <f>--68.25</f>
        <v>68.25</v>
      </c>
      <c r="U32" s="3"/>
      <c r="V32" s="22"/>
      <c r="W32" s="3"/>
      <c r="X32" s="3">
        <f t="shared" si="2"/>
        <v>-68.25</v>
      </c>
      <c r="Y32" s="3"/>
      <c r="Z32" s="22">
        <f t="shared" si="3"/>
        <v>-1</v>
      </c>
    </row>
    <row r="33" spans="1:26" s="24" customFormat="1" hidden="1" outlineLevel="1" x14ac:dyDescent="0.3">
      <c r="A33" s="50"/>
      <c r="B33" s="12" t="str">
        <f>CONCATENATE("          ", "4140", " - ", "NON-TAXABLE SALES-LOGO CLOTHIN")</f>
        <v xml:space="preserve">          4140 - NON-TAXABLE SALES-LOGO CLOTHIN</v>
      </c>
      <c r="C33" s="12"/>
      <c r="D33" s="3">
        <f t="shared" si="6"/>
        <v>0</v>
      </c>
      <c r="E33" s="3"/>
      <c r="F33" s="22"/>
      <c r="G33" s="3"/>
      <c r="H33" s="3">
        <f>--6846.24</f>
        <v>6846.24</v>
      </c>
      <c r="I33" s="3"/>
      <c r="J33" s="22"/>
      <c r="K33" s="3"/>
      <c r="L33" s="3">
        <f t="shared" si="0"/>
        <v>-6846.24</v>
      </c>
      <c r="M33" s="3"/>
      <c r="N33" s="22">
        <f t="shared" si="1"/>
        <v>-1</v>
      </c>
      <c r="O33" s="12"/>
      <c r="P33" s="3">
        <f t="shared" si="7"/>
        <v>0</v>
      </c>
      <c r="Q33" s="3"/>
      <c r="R33" s="22"/>
      <c r="S33" s="3"/>
      <c r="T33" s="3">
        <f>--6846.24</f>
        <v>6846.24</v>
      </c>
      <c r="U33" s="3"/>
      <c r="V33" s="22"/>
      <c r="W33" s="3"/>
      <c r="X33" s="3">
        <f t="shared" si="2"/>
        <v>-6846.24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"4141", " - ", "NON-TAXABLE SALES-LOGO GIFTS")</f>
        <v xml:space="preserve">          4141 - NON-TAXABLE SALES-LOGO GIFTS</v>
      </c>
      <c r="C34" s="12"/>
      <c r="D34" s="3">
        <f t="shared" si="6"/>
        <v>0</v>
      </c>
      <c r="E34" s="3"/>
      <c r="F34" s="22"/>
      <c r="G34" s="3"/>
      <c r="H34" s="3">
        <f>--1189.44</f>
        <v>1189.44</v>
      </c>
      <c r="I34" s="3"/>
      <c r="J34" s="22"/>
      <c r="K34" s="3"/>
      <c r="L34" s="3">
        <f t="shared" si="0"/>
        <v>-1189.44</v>
      </c>
      <c r="M34" s="3"/>
      <c r="N34" s="22">
        <f t="shared" si="1"/>
        <v>-1</v>
      </c>
      <c r="O34" s="12"/>
      <c r="P34" s="3">
        <f t="shared" si="7"/>
        <v>0</v>
      </c>
      <c r="Q34" s="3"/>
      <c r="R34" s="22"/>
      <c r="S34" s="3"/>
      <c r="T34" s="3">
        <f>--1189.44</f>
        <v>1189.44</v>
      </c>
      <c r="U34" s="3"/>
      <c r="V34" s="22"/>
      <c r="W34" s="3"/>
      <c r="X34" s="3">
        <f t="shared" si="2"/>
        <v>-1189.44</v>
      </c>
      <c r="Y34" s="3"/>
      <c r="Z34" s="22">
        <f t="shared" si="3"/>
        <v>-1</v>
      </c>
    </row>
    <row r="35" spans="1:26" s="24" customFormat="1" hidden="1" outlineLevel="1" x14ac:dyDescent="0.3">
      <c r="A35" s="50"/>
      <c r="B35" s="12" t="str">
        <f>CONCATENATE("          ", "4142", " - ", "NON-TAXABLE SALES-EVERYDAY GIF")</f>
        <v xml:space="preserve">          4142 - NON-TAXABLE SALES-EVERYDAY GIF</v>
      </c>
      <c r="C35" s="12"/>
      <c r="D35" s="3">
        <f t="shared" si="6"/>
        <v>0</v>
      </c>
      <c r="E35" s="3"/>
      <c r="F35" s="22"/>
      <c r="G35" s="3"/>
      <c r="H35" s="3">
        <f>--640.17</f>
        <v>640.16999999999996</v>
      </c>
      <c r="I35" s="3"/>
      <c r="J35" s="22"/>
      <c r="K35" s="3"/>
      <c r="L35" s="3">
        <f t="shared" si="0"/>
        <v>-640.16999999999996</v>
      </c>
      <c r="M35" s="3"/>
      <c r="N35" s="22">
        <f t="shared" si="1"/>
        <v>-1</v>
      </c>
      <c r="O35" s="12"/>
      <c r="P35" s="3">
        <f t="shared" si="7"/>
        <v>0</v>
      </c>
      <c r="Q35" s="3"/>
      <c r="R35" s="22"/>
      <c r="S35" s="3"/>
      <c r="T35" s="3">
        <f>--640.17</f>
        <v>640.16999999999996</v>
      </c>
      <c r="U35" s="3"/>
      <c r="V35" s="22"/>
      <c r="W35" s="3"/>
      <c r="X35" s="3">
        <f t="shared" si="2"/>
        <v>-640.16999999999996</v>
      </c>
      <c r="Y35" s="3"/>
      <c r="Z35" s="22">
        <f t="shared" si="3"/>
        <v>-1</v>
      </c>
    </row>
    <row r="36" spans="1:26" s="24" customFormat="1" hidden="1" outlineLevel="1" x14ac:dyDescent="0.3">
      <c r="A36" s="50"/>
      <c r="B36" s="12" t="str">
        <f>CONCATENATE("          ", "4144", " - ", "NON-TAXABLE SALES-ACCESSORIES")</f>
        <v xml:space="preserve">          4144 - NON-TAXABLE SALES-ACCESSORIES</v>
      </c>
      <c r="C36" s="12"/>
      <c r="D36" s="3">
        <f t="shared" si="6"/>
        <v>0</v>
      </c>
      <c r="E36" s="3"/>
      <c r="F36" s="22"/>
      <c r="G36" s="3"/>
      <c r="H36" s="3">
        <f>--47.85</f>
        <v>47.85</v>
      </c>
      <c r="I36" s="3"/>
      <c r="J36" s="22"/>
      <c r="K36" s="3"/>
      <c r="L36" s="3">
        <f t="shared" si="0"/>
        <v>-47.85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--47.85</f>
        <v>47.85</v>
      </c>
      <c r="U36" s="3"/>
      <c r="V36" s="22"/>
      <c r="W36" s="3"/>
      <c r="X36" s="3">
        <f t="shared" si="2"/>
        <v>-47.85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"4145", " - ", "NON-TAXABLE SALES-SPECIAL ORDE")</f>
        <v xml:space="preserve">          4145 - NON-TAXABLE SALES-SPECIAL ORDE</v>
      </c>
      <c r="C37" s="12"/>
      <c r="D37" s="3">
        <f t="shared" si="6"/>
        <v>0</v>
      </c>
      <c r="E37" s="3"/>
      <c r="F37" s="22"/>
      <c r="G37" s="3"/>
      <c r="H37" s="3">
        <f>--35496</f>
        <v>35496</v>
      </c>
      <c r="I37" s="3"/>
      <c r="J37" s="22"/>
      <c r="K37" s="3"/>
      <c r="L37" s="3">
        <f t="shared" si="0"/>
        <v>-35496</v>
      </c>
      <c r="M37" s="3"/>
      <c r="N37" s="22">
        <f t="shared" si="1"/>
        <v>-1</v>
      </c>
      <c r="O37" s="12"/>
      <c r="P37" s="3">
        <f t="shared" si="7"/>
        <v>0</v>
      </c>
      <c r="Q37" s="3"/>
      <c r="R37" s="22"/>
      <c r="S37" s="3"/>
      <c r="T37" s="3">
        <f>--35496</f>
        <v>35496</v>
      </c>
      <c r="U37" s="3"/>
      <c r="V37" s="22"/>
      <c r="W37" s="3"/>
      <c r="X37" s="3">
        <f t="shared" si="2"/>
        <v>-35496</v>
      </c>
      <c r="Y37" s="3"/>
      <c r="Z37" s="22">
        <f t="shared" si="3"/>
        <v>-1</v>
      </c>
    </row>
    <row r="38" spans="1:26" s="24" customFormat="1" hidden="1" outlineLevel="1" x14ac:dyDescent="0.3">
      <c r="A38" s="50"/>
      <c r="B38" s="12" t="str">
        <f>CONCATENATE("          ", "4200", " - ", "TAXABLE RETURNS")</f>
        <v xml:space="preserve">          4200 - TAXABLE RETURNS</v>
      </c>
      <c r="C38" s="12"/>
      <c r="D38" s="3">
        <f>-4645.61</f>
        <v>-4645.6099999999997</v>
      </c>
      <c r="E38" s="3"/>
      <c r="F38" s="22"/>
      <c r="G38" s="3"/>
      <c r="H38" s="3">
        <f>0</f>
        <v>0</v>
      </c>
      <c r="I38" s="3"/>
      <c r="J38" s="22"/>
      <c r="K38" s="3"/>
      <c r="L38" s="3">
        <f t="shared" si="0"/>
        <v>-4645.6099999999997</v>
      </c>
      <c r="M38" s="3"/>
      <c r="N38" s="22">
        <f t="shared" si="1"/>
        <v>0</v>
      </c>
      <c r="O38" s="12"/>
      <c r="P38" s="3">
        <f>-4645.61</f>
        <v>-4645.6099999999997</v>
      </c>
      <c r="Q38" s="3"/>
      <c r="R38" s="22"/>
      <c r="S38" s="3"/>
      <c r="T38" s="3">
        <f>0</f>
        <v>0</v>
      </c>
      <c r="U38" s="3"/>
      <c r="V38" s="22"/>
      <c r="W38" s="3"/>
      <c r="X38" s="3">
        <f t="shared" si="2"/>
        <v>-4645.6099999999997</v>
      </c>
      <c r="Y38" s="3"/>
      <c r="Z38" s="22">
        <f t="shared" si="3"/>
        <v>0</v>
      </c>
    </row>
    <row r="39" spans="1:26" s="24" customFormat="1" hidden="1" outlineLevel="1" x14ac:dyDescent="0.3">
      <c r="A39" s="50"/>
      <c r="B39" s="12" t="str">
        <f>CONCATENATE("          ", "4226", " - ", "SALES RETURN TAXABLE-WRITING I")</f>
        <v xml:space="preserve">          4226 - SALES RETURN TAXABLE-WRITING I</v>
      </c>
      <c r="C39" s="12"/>
      <c r="D39" s="3">
        <f t="shared" ref="D39:D44" si="8">0</f>
        <v>0</v>
      </c>
      <c r="E39" s="3"/>
      <c r="F39" s="22"/>
      <c r="G39" s="3"/>
      <c r="H39" s="3">
        <f>-6.38</f>
        <v>-6.38</v>
      </c>
      <c r="I39" s="3"/>
      <c r="J39" s="22"/>
      <c r="K39" s="3"/>
      <c r="L39" s="3">
        <f t="shared" si="0"/>
        <v>6.38</v>
      </c>
      <c r="M39" s="3"/>
      <c r="N39" s="22">
        <f t="shared" si="1"/>
        <v>-1</v>
      </c>
      <c r="O39" s="12"/>
      <c r="P39" s="3">
        <f t="shared" ref="P39:P44" si="9">0</f>
        <v>0</v>
      </c>
      <c r="Q39" s="3"/>
      <c r="R39" s="22"/>
      <c r="S39" s="3"/>
      <c r="T39" s="3">
        <f>-6.38</f>
        <v>-6.38</v>
      </c>
      <c r="U39" s="3"/>
      <c r="V39" s="22"/>
      <c r="W39" s="3"/>
      <c r="X39" s="3">
        <f t="shared" si="2"/>
        <v>6.38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"4227", " - ", "SALES RETURN TAXABLE-SCHOOL SU")</f>
        <v xml:space="preserve">          4227 - SALES RETURN TAXABLE-SCHOOL SU</v>
      </c>
      <c r="C40" s="12"/>
      <c r="D40" s="3">
        <f t="shared" si="8"/>
        <v>0</v>
      </c>
      <c r="E40" s="3"/>
      <c r="F40" s="22"/>
      <c r="G40" s="3"/>
      <c r="H40" s="3">
        <f>-56.77</f>
        <v>-56.77</v>
      </c>
      <c r="I40" s="3"/>
      <c r="J40" s="22"/>
      <c r="K40" s="3"/>
      <c r="L40" s="3">
        <f t="shared" si="0"/>
        <v>56.77</v>
      </c>
      <c r="M40" s="3"/>
      <c r="N40" s="22">
        <f t="shared" si="1"/>
        <v>-1</v>
      </c>
      <c r="O40" s="12"/>
      <c r="P40" s="3">
        <f t="shared" si="9"/>
        <v>0</v>
      </c>
      <c r="Q40" s="3"/>
      <c r="R40" s="22"/>
      <c r="S40" s="3"/>
      <c r="T40" s="3">
        <f>-56.77</f>
        <v>-56.77</v>
      </c>
      <c r="U40" s="3"/>
      <c r="V40" s="22"/>
      <c r="W40" s="3"/>
      <c r="X40" s="3">
        <f t="shared" si="2"/>
        <v>56.77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"4240", " - ", "SALES RETURN TAXABLE-LOGO CLOT")</f>
        <v xml:space="preserve">          4240 - SALES RETURN TAXABLE-LOGO CLOT</v>
      </c>
      <c r="C41" s="12"/>
      <c r="D41" s="3">
        <f t="shared" si="8"/>
        <v>0</v>
      </c>
      <c r="E41" s="3"/>
      <c r="F41" s="22"/>
      <c r="G41" s="3"/>
      <c r="H41" s="3">
        <f>-3368.1</f>
        <v>-3368.1</v>
      </c>
      <c r="I41" s="3"/>
      <c r="J41" s="22"/>
      <c r="K41" s="3"/>
      <c r="L41" s="3">
        <f t="shared" si="0"/>
        <v>3368.1</v>
      </c>
      <c r="M41" s="3"/>
      <c r="N41" s="22">
        <f t="shared" si="1"/>
        <v>-1</v>
      </c>
      <c r="O41" s="12"/>
      <c r="P41" s="3">
        <f t="shared" si="9"/>
        <v>0</v>
      </c>
      <c r="Q41" s="3"/>
      <c r="R41" s="22"/>
      <c r="S41" s="3"/>
      <c r="T41" s="3">
        <f>-3368.1</f>
        <v>-3368.1</v>
      </c>
      <c r="U41" s="3"/>
      <c r="V41" s="22"/>
      <c r="W41" s="3"/>
      <c r="X41" s="3">
        <f t="shared" si="2"/>
        <v>3368.1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"4241", " - ", "SALES RETURN TAXABLE-LOGO GIFT")</f>
        <v xml:space="preserve">          4241 - SALES RETURN TAXABLE-LOGO GIFT</v>
      </c>
      <c r="C42" s="12"/>
      <c r="D42" s="3">
        <f t="shared" si="8"/>
        <v>0</v>
      </c>
      <c r="E42" s="3"/>
      <c r="F42" s="22"/>
      <c r="G42" s="3"/>
      <c r="H42" s="3">
        <f>-341.98</f>
        <v>-341.98</v>
      </c>
      <c r="I42" s="3"/>
      <c r="J42" s="22"/>
      <c r="K42" s="3"/>
      <c r="L42" s="3">
        <f t="shared" si="0"/>
        <v>341.98</v>
      </c>
      <c r="M42" s="3"/>
      <c r="N42" s="22">
        <f t="shared" si="1"/>
        <v>-1</v>
      </c>
      <c r="O42" s="12"/>
      <c r="P42" s="3">
        <f t="shared" si="9"/>
        <v>0</v>
      </c>
      <c r="Q42" s="3"/>
      <c r="R42" s="22"/>
      <c r="S42" s="3"/>
      <c r="T42" s="3">
        <f>-341.98</f>
        <v>-341.98</v>
      </c>
      <c r="U42" s="3"/>
      <c r="V42" s="22"/>
      <c r="W42" s="3"/>
      <c r="X42" s="3">
        <f t="shared" si="2"/>
        <v>341.98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"4242", " - ", "SALES RETURN TAXABLE-EVERYDAY")</f>
        <v xml:space="preserve">          4242 - SALES RETURN TAXABLE-EVERYDAY</v>
      </c>
      <c r="C43" s="12"/>
      <c r="D43" s="3">
        <f t="shared" si="8"/>
        <v>0</v>
      </c>
      <c r="E43" s="3"/>
      <c r="F43" s="22"/>
      <c r="G43" s="3"/>
      <c r="H43" s="3">
        <f>-178.96</f>
        <v>-178.96</v>
      </c>
      <c r="I43" s="3"/>
      <c r="J43" s="22"/>
      <c r="K43" s="3"/>
      <c r="L43" s="3">
        <f t="shared" si="0"/>
        <v>178.96</v>
      </c>
      <c r="M43" s="3"/>
      <c r="N43" s="22">
        <f t="shared" si="1"/>
        <v>-1</v>
      </c>
      <c r="O43" s="12"/>
      <c r="P43" s="3">
        <f t="shared" si="9"/>
        <v>0</v>
      </c>
      <c r="Q43" s="3"/>
      <c r="R43" s="22"/>
      <c r="S43" s="3"/>
      <c r="T43" s="3">
        <f>-178.96</f>
        <v>-178.96</v>
      </c>
      <c r="U43" s="3"/>
      <c r="V43" s="22"/>
      <c r="W43" s="3"/>
      <c r="X43" s="3">
        <f t="shared" si="2"/>
        <v>178.96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"4245", " - ", "SALES RETURN TAXABLE-SPECIAL O")</f>
        <v xml:space="preserve">          4245 - SALES RETURN TAXABLE-SPECIAL O</v>
      </c>
      <c r="C44" s="12"/>
      <c r="D44" s="3">
        <f t="shared" si="8"/>
        <v>0</v>
      </c>
      <c r="E44" s="3"/>
      <c r="F44" s="22"/>
      <c r="G44" s="3"/>
      <c r="H44" s="3">
        <f>-1121</f>
        <v>-1121</v>
      </c>
      <c r="I44" s="3"/>
      <c r="J44" s="22"/>
      <c r="K44" s="3"/>
      <c r="L44" s="3">
        <f t="shared" si="0"/>
        <v>1121</v>
      </c>
      <c r="M44" s="3"/>
      <c r="N44" s="22">
        <f t="shared" si="1"/>
        <v>-1</v>
      </c>
      <c r="O44" s="12"/>
      <c r="P44" s="3">
        <f t="shared" si="9"/>
        <v>0</v>
      </c>
      <c r="Q44" s="3"/>
      <c r="R44" s="22"/>
      <c r="S44" s="3"/>
      <c r="T44" s="3">
        <f>-1121</f>
        <v>-1121</v>
      </c>
      <c r="U44" s="3"/>
      <c r="V44" s="22"/>
      <c r="W44" s="3"/>
      <c r="X44" s="3">
        <f t="shared" si="2"/>
        <v>1121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"4300", " - ", "NON-TAX RETURNS")</f>
        <v xml:space="preserve">          4300 - NON-TAX RETURNS</v>
      </c>
      <c r="C45" s="12"/>
      <c r="D45" s="3">
        <f>-119.85</f>
        <v>-119.85</v>
      </c>
      <c r="E45" s="3"/>
      <c r="F45" s="22"/>
      <c r="G45" s="3"/>
      <c r="H45" s="3">
        <f>0</f>
        <v>0</v>
      </c>
      <c r="I45" s="3"/>
      <c r="J45" s="22"/>
      <c r="K45" s="3"/>
      <c r="L45" s="3">
        <f t="shared" si="0"/>
        <v>-119.85</v>
      </c>
      <c r="M45" s="3"/>
      <c r="N45" s="22">
        <f t="shared" si="1"/>
        <v>0</v>
      </c>
      <c r="O45" s="12"/>
      <c r="P45" s="3">
        <f>-119.85</f>
        <v>-119.85</v>
      </c>
      <c r="Q45" s="3"/>
      <c r="R45" s="22"/>
      <c r="S45" s="3"/>
      <c r="T45" s="3">
        <f>0</f>
        <v>0</v>
      </c>
      <c r="U45" s="3"/>
      <c r="V45" s="22"/>
      <c r="W45" s="3"/>
      <c r="X45" s="3">
        <f t="shared" si="2"/>
        <v>-119.85</v>
      </c>
      <c r="Y45" s="3"/>
      <c r="Z45" s="22">
        <f t="shared" si="3"/>
        <v>0</v>
      </c>
    </row>
    <row r="46" spans="1:26" s="24" customFormat="1" hidden="1" outlineLevel="1" x14ac:dyDescent="0.3">
      <c r="A46" s="50"/>
      <c r="B46" s="12" t="str">
        <f>CONCATENATE("          ", "4340", " - ", "SALES RETURN NON TAXABLE-LOGO")</f>
        <v xml:space="preserve">          4340 - SALES RETURN NON TAXABLE-LOGO</v>
      </c>
      <c r="C46" s="12"/>
      <c r="D46" s="3">
        <f t="shared" ref="D46:D48" si="10">0</f>
        <v>0</v>
      </c>
      <c r="E46" s="3"/>
      <c r="F46" s="22"/>
      <c r="G46" s="3"/>
      <c r="H46" s="3">
        <f>-434.24</f>
        <v>-434.24</v>
      </c>
      <c r="I46" s="3"/>
      <c r="J46" s="22"/>
      <c r="K46" s="3"/>
      <c r="L46" s="3">
        <f t="shared" si="0"/>
        <v>434.24</v>
      </c>
      <c r="M46" s="3"/>
      <c r="N46" s="22">
        <f t="shared" si="1"/>
        <v>-1</v>
      </c>
      <c r="O46" s="12"/>
      <c r="P46" s="3">
        <f t="shared" ref="P46:P48" si="11">0</f>
        <v>0</v>
      </c>
      <c r="Q46" s="3"/>
      <c r="R46" s="22"/>
      <c r="S46" s="3"/>
      <c r="T46" s="3">
        <f>-434.24</f>
        <v>-434.24</v>
      </c>
      <c r="U46" s="3"/>
      <c r="V46" s="22"/>
      <c r="W46" s="3"/>
      <c r="X46" s="3">
        <f t="shared" si="2"/>
        <v>434.24</v>
      </c>
      <c r="Y46" s="3"/>
      <c r="Z46" s="22">
        <f t="shared" si="3"/>
        <v>-1</v>
      </c>
    </row>
    <row r="47" spans="1:26" s="24" customFormat="1" hidden="1" outlineLevel="1" x14ac:dyDescent="0.3">
      <c r="A47" s="50"/>
      <c r="B47" s="12" t="str">
        <f>CONCATENATE("          ", "4341", " - ", "SALES RETURN NON TAXABLE-LOGO")</f>
        <v xml:space="preserve">          4341 - SALES RETURN NON TAXABLE-LOGO</v>
      </c>
      <c r="C47" s="12"/>
      <c r="D47" s="3">
        <f t="shared" si="10"/>
        <v>0</v>
      </c>
      <c r="E47" s="3"/>
      <c r="F47" s="22"/>
      <c r="G47" s="3"/>
      <c r="H47" s="3">
        <f>-16.95</f>
        <v>-16.95</v>
      </c>
      <c r="I47" s="3"/>
      <c r="J47" s="22"/>
      <c r="K47" s="3"/>
      <c r="L47" s="3">
        <f t="shared" si="0"/>
        <v>16.95</v>
      </c>
      <c r="M47" s="3"/>
      <c r="N47" s="22">
        <f t="shared" si="1"/>
        <v>-1</v>
      </c>
      <c r="O47" s="12"/>
      <c r="P47" s="3">
        <f t="shared" si="11"/>
        <v>0</v>
      </c>
      <c r="Q47" s="3"/>
      <c r="R47" s="22"/>
      <c r="S47" s="3"/>
      <c r="T47" s="3">
        <f>-16.95</f>
        <v>-16.95</v>
      </c>
      <c r="U47" s="3"/>
      <c r="V47" s="22"/>
      <c r="W47" s="3"/>
      <c r="X47" s="3">
        <f t="shared" si="2"/>
        <v>16.95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"4342", " - ", "SALES RETURN NON TAXABLE-EVERY")</f>
        <v xml:space="preserve">          4342 - SALES RETURN NON TAXABLE-EVERY</v>
      </c>
      <c r="C48" s="12"/>
      <c r="D48" s="3">
        <f t="shared" si="10"/>
        <v>0</v>
      </c>
      <c r="E48" s="3"/>
      <c r="F48" s="22"/>
      <c r="G48" s="3"/>
      <c r="H48" s="3">
        <f>-79.85</f>
        <v>-79.849999999999994</v>
      </c>
      <c r="I48" s="3"/>
      <c r="J48" s="22"/>
      <c r="K48" s="3"/>
      <c r="L48" s="3">
        <f t="shared" si="0"/>
        <v>79.849999999999994</v>
      </c>
      <c r="M48" s="3"/>
      <c r="N48" s="22">
        <f t="shared" si="1"/>
        <v>-1</v>
      </c>
      <c r="O48" s="12"/>
      <c r="P48" s="3">
        <f t="shared" si="11"/>
        <v>0</v>
      </c>
      <c r="Q48" s="3"/>
      <c r="R48" s="22"/>
      <c r="S48" s="3"/>
      <c r="T48" s="3">
        <f>-79.85</f>
        <v>-79.849999999999994</v>
      </c>
      <c r="U48" s="3"/>
      <c r="V48" s="22"/>
      <c r="W48" s="3"/>
      <c r="X48" s="3">
        <f t="shared" si="2"/>
        <v>79.849999999999994</v>
      </c>
      <c r="Y48" s="3"/>
      <c r="Z48" s="22">
        <f t="shared" si="3"/>
        <v>-1</v>
      </c>
    </row>
    <row r="49" spans="1:26" x14ac:dyDescent="0.3">
      <c r="A49" s="9"/>
      <c r="B49" s="10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collapsed="1" x14ac:dyDescent="0.3">
      <c r="A50" s="10"/>
      <c r="B50" s="25" t="s">
        <v>256</v>
      </c>
      <c r="C50" s="10"/>
      <c r="D50" s="4">
        <f>SUM(OSRRefD16x_0)</f>
        <v>82719.690000000017</v>
      </c>
      <c r="E50" s="4"/>
      <c r="F50" s="11">
        <f t="shared" ref="F50:F66" si="12">IF(D$12=0,0,D50/D$12)</f>
        <v>0.53075932489624755</v>
      </c>
      <c r="G50" s="4"/>
      <c r="H50" s="4">
        <f>SUM(OSRRefH16x_0)</f>
        <v>110539.94</v>
      </c>
      <c r="I50" s="4"/>
      <c r="J50" s="11">
        <f t="shared" ref="J50:J66" si="13">IF(H$12=0,0,H50/H$12)</f>
        <v>0.6324489151612861</v>
      </c>
      <c r="K50" s="4"/>
      <c r="L50" s="4">
        <f t="shared" ref="L50:L66" si="14">+D50-H50</f>
        <v>-27820.249999999985</v>
      </c>
      <c r="M50" s="4"/>
      <c r="N50" s="11">
        <f t="shared" ref="N50:N66" si="15">IF(H50=0,0,L50/H50)</f>
        <v>-0.25167600054785616</v>
      </c>
      <c r="O50" s="10"/>
      <c r="P50" s="4">
        <f>SUM(OSRRefP16x_0)</f>
        <v>82719.690000000017</v>
      </c>
      <c r="Q50" s="4"/>
      <c r="R50" s="11">
        <f t="shared" ref="R50:R66" si="16">IF(P$12=0,0,P50/P$12)</f>
        <v>0.53075932489624755</v>
      </c>
      <c r="S50" s="4"/>
      <c r="T50" s="4">
        <f>SUM(OSRRefT16x_0)</f>
        <v>110539.94</v>
      </c>
      <c r="U50" s="4"/>
      <c r="V50" s="11">
        <f t="shared" ref="V50:V66" si="17">IF(T$12=0,0,T50/T$12)</f>
        <v>0.6324489151612861</v>
      </c>
      <c r="W50" s="4"/>
      <c r="X50" s="4">
        <f t="shared" ref="X50:X66" si="18">+P50-T50</f>
        <v>-27820.249999999985</v>
      </c>
      <c r="Y50" s="4"/>
      <c r="Z50" s="11">
        <f t="shared" ref="Z50:Z66" si="19">IF(T50=0,0,X50/T50)</f>
        <v>-0.25167600054785616</v>
      </c>
    </row>
    <row r="51" spans="1:26" s="24" customFormat="1" hidden="1" outlineLevel="1" x14ac:dyDescent="0.3">
      <c r="A51" s="50"/>
      <c r="B51" s="12" t="str">
        <f>CONCATENATE("          ", "5000", " - ", "PURCHASES @ COST")</f>
        <v xml:space="preserve">          5000 - PURCHASES @ COST</v>
      </c>
      <c r="C51" s="12"/>
      <c r="D51" s="3">
        <v>80555.63</v>
      </c>
      <c r="E51" s="3"/>
      <c r="F51" s="22">
        <f t="shared" si="12"/>
        <v>0.51687393648830038</v>
      </c>
      <c r="G51" s="3"/>
      <c r="H51" s="3"/>
      <c r="I51" s="3"/>
      <c r="J51" s="22">
        <f t="shared" si="13"/>
        <v>0</v>
      </c>
      <c r="K51" s="3"/>
      <c r="L51" s="3">
        <f t="shared" si="14"/>
        <v>80555.63</v>
      </c>
      <c r="M51" s="3"/>
      <c r="N51" s="22">
        <f t="shared" si="15"/>
        <v>0</v>
      </c>
      <c r="O51" s="12"/>
      <c r="P51" s="3">
        <v>80555.63</v>
      </c>
      <c r="Q51" s="3"/>
      <c r="R51" s="22">
        <f t="shared" si="16"/>
        <v>0.51687393648830038</v>
      </c>
      <c r="S51" s="3"/>
      <c r="T51" s="3"/>
      <c r="U51" s="3"/>
      <c r="V51" s="22">
        <f t="shared" si="17"/>
        <v>0</v>
      </c>
      <c r="W51" s="3"/>
      <c r="X51" s="3">
        <f t="shared" si="18"/>
        <v>80555.63</v>
      </c>
      <c r="Y51" s="3"/>
      <c r="Z51" s="22">
        <f t="shared" si="19"/>
        <v>0</v>
      </c>
    </row>
    <row r="52" spans="1:26" s="24" customFormat="1" hidden="1" outlineLevel="1" x14ac:dyDescent="0.3">
      <c r="A52" s="50"/>
      <c r="B52" s="12" t="str">
        <f>CONCATENATE("          ", "5027", " - ", "PURCHASES @ COST-SCHOOL SUPPLI")</f>
        <v xml:space="preserve">          5027 - PURCHASES @ COST-SCHOOL SUPPLI</v>
      </c>
      <c r="C52" s="12"/>
      <c r="D52" s="3"/>
      <c r="E52" s="3"/>
      <c r="F52" s="22">
        <f t="shared" si="12"/>
        <v>0</v>
      </c>
      <c r="G52" s="3"/>
      <c r="H52" s="3">
        <v>8503.4</v>
      </c>
      <c r="I52" s="3"/>
      <c r="J52" s="22">
        <f t="shared" si="13"/>
        <v>4.8651791426542114E-2</v>
      </c>
      <c r="K52" s="3"/>
      <c r="L52" s="3">
        <f t="shared" si="14"/>
        <v>-8503.4</v>
      </c>
      <c r="M52" s="3"/>
      <c r="N52" s="22">
        <f t="shared" si="15"/>
        <v>-1</v>
      </c>
      <c r="O52" s="12"/>
      <c r="P52" s="3"/>
      <c r="Q52" s="3"/>
      <c r="R52" s="22">
        <f t="shared" si="16"/>
        <v>0</v>
      </c>
      <c r="S52" s="3"/>
      <c r="T52" s="3">
        <v>8503.4</v>
      </c>
      <c r="U52" s="3"/>
      <c r="V52" s="22">
        <f t="shared" si="17"/>
        <v>4.8651791426542114E-2</v>
      </c>
      <c r="W52" s="3"/>
      <c r="X52" s="3">
        <f t="shared" si="18"/>
        <v>-8503.4</v>
      </c>
      <c r="Y52" s="3"/>
      <c r="Z52" s="22">
        <f t="shared" si="19"/>
        <v>-1</v>
      </c>
    </row>
    <row r="53" spans="1:26" s="24" customFormat="1" hidden="1" outlineLevel="1" x14ac:dyDescent="0.3">
      <c r="A53" s="50"/>
      <c r="B53" s="12" t="str">
        <f>CONCATENATE("          ", "5040", " - ", "PURCHASES @ COST-LOGO CLOTHING")</f>
        <v xml:space="preserve">          5040 - PURCHASES @ COST-LOGO CLOTHING</v>
      </c>
      <c r="C53" s="12"/>
      <c r="D53" s="3">
        <v>0</v>
      </c>
      <c r="E53" s="3"/>
      <c r="F53" s="22">
        <f t="shared" si="12"/>
        <v>0</v>
      </c>
      <c r="G53" s="3"/>
      <c r="H53" s="3">
        <v>1723.07</v>
      </c>
      <c r="I53" s="3"/>
      <c r="J53" s="22">
        <f t="shared" si="13"/>
        <v>9.8584615863456879E-3</v>
      </c>
      <c r="K53" s="3"/>
      <c r="L53" s="3">
        <f t="shared" si="14"/>
        <v>-1723.07</v>
      </c>
      <c r="M53" s="3"/>
      <c r="N53" s="22">
        <f t="shared" si="15"/>
        <v>-1</v>
      </c>
      <c r="O53" s="12"/>
      <c r="P53" s="3">
        <v>0</v>
      </c>
      <c r="Q53" s="3"/>
      <c r="R53" s="22">
        <f t="shared" si="16"/>
        <v>0</v>
      </c>
      <c r="S53" s="3"/>
      <c r="T53" s="3">
        <v>1723.07</v>
      </c>
      <c r="U53" s="3"/>
      <c r="V53" s="22">
        <f t="shared" si="17"/>
        <v>9.8584615863456879E-3</v>
      </c>
      <c r="W53" s="3"/>
      <c r="X53" s="3">
        <f t="shared" si="18"/>
        <v>-1723.07</v>
      </c>
      <c r="Y53" s="3"/>
      <c r="Z53" s="22">
        <f t="shared" si="19"/>
        <v>-1</v>
      </c>
    </row>
    <row r="54" spans="1:26" s="24" customFormat="1" hidden="1" outlineLevel="1" x14ac:dyDescent="0.3">
      <c r="A54" s="50"/>
      <c r="B54" s="12" t="str">
        <f>CONCATENATE("          ", "5041", " - ", "PURCHASES @ COST-LOGO GIFTS")</f>
        <v xml:space="preserve">          5041 - PURCHASES @ COST-LOGO GIFTS</v>
      </c>
      <c r="C54" s="12"/>
      <c r="D54" s="3">
        <v>0</v>
      </c>
      <c r="E54" s="3"/>
      <c r="F54" s="22">
        <f t="shared" si="12"/>
        <v>0</v>
      </c>
      <c r="G54" s="3"/>
      <c r="H54" s="3">
        <v>-713.75</v>
      </c>
      <c r="I54" s="3"/>
      <c r="J54" s="22">
        <f t="shared" si="13"/>
        <v>-4.0836860703594366E-3</v>
      </c>
      <c r="K54" s="3"/>
      <c r="L54" s="3">
        <f t="shared" si="14"/>
        <v>713.75</v>
      </c>
      <c r="M54" s="3"/>
      <c r="N54" s="22">
        <f t="shared" si="15"/>
        <v>-1</v>
      </c>
      <c r="O54" s="12"/>
      <c r="P54" s="3">
        <v>0</v>
      </c>
      <c r="Q54" s="3"/>
      <c r="R54" s="22">
        <f t="shared" si="16"/>
        <v>0</v>
      </c>
      <c r="S54" s="3"/>
      <c r="T54" s="3">
        <v>-713.75</v>
      </c>
      <c r="U54" s="3"/>
      <c r="V54" s="22">
        <f t="shared" si="17"/>
        <v>-4.0836860703594366E-3</v>
      </c>
      <c r="W54" s="3"/>
      <c r="X54" s="3">
        <f t="shared" si="18"/>
        <v>713.75</v>
      </c>
      <c r="Y54" s="3"/>
      <c r="Z54" s="22">
        <f t="shared" si="19"/>
        <v>-1</v>
      </c>
    </row>
    <row r="55" spans="1:26" s="24" customFormat="1" hidden="1" outlineLevel="1" x14ac:dyDescent="0.3">
      <c r="A55" s="50"/>
      <c r="B55" s="12" t="str">
        <f>CONCATENATE("          ", "5042", " - ", "PURCHASES @ COST-EVERYDAY GIFT")</f>
        <v xml:space="preserve">          5042 - PURCHASES @ COST-EVERYDAY GIFT</v>
      </c>
      <c r="C55" s="12"/>
      <c r="D55" s="3">
        <v>0</v>
      </c>
      <c r="E55" s="3"/>
      <c r="F55" s="22">
        <f t="shared" si="12"/>
        <v>0</v>
      </c>
      <c r="G55" s="3"/>
      <c r="H55" s="3">
        <v>236.16</v>
      </c>
      <c r="I55" s="3"/>
      <c r="J55" s="22">
        <f t="shared" si="13"/>
        <v>1.3511780068316422E-3</v>
      </c>
      <c r="K55" s="3"/>
      <c r="L55" s="3">
        <f t="shared" si="14"/>
        <v>-236.16</v>
      </c>
      <c r="M55" s="3"/>
      <c r="N55" s="22">
        <f t="shared" si="15"/>
        <v>-1</v>
      </c>
      <c r="O55" s="12"/>
      <c r="P55" s="3">
        <v>0</v>
      </c>
      <c r="Q55" s="3"/>
      <c r="R55" s="22">
        <f t="shared" si="16"/>
        <v>0</v>
      </c>
      <c r="S55" s="3"/>
      <c r="T55" s="3">
        <v>236.16</v>
      </c>
      <c r="U55" s="3"/>
      <c r="V55" s="22">
        <f t="shared" si="17"/>
        <v>1.3511780068316422E-3</v>
      </c>
      <c r="W55" s="3"/>
      <c r="X55" s="3">
        <f t="shared" si="18"/>
        <v>-236.16</v>
      </c>
      <c r="Y55" s="3"/>
      <c r="Z55" s="22">
        <f t="shared" si="19"/>
        <v>-1</v>
      </c>
    </row>
    <row r="56" spans="1:26" s="24" customFormat="1" hidden="1" outlineLevel="1" x14ac:dyDescent="0.3">
      <c r="A56" s="50"/>
      <c r="B56" s="12" t="str">
        <f>CONCATENATE("          ", "5043", " - ", "PURCHASES @ COST-CARDS")</f>
        <v xml:space="preserve">          5043 - PURCHASES @ COST-CARDS</v>
      </c>
      <c r="C56" s="12"/>
      <c r="D56" s="3">
        <v>0</v>
      </c>
      <c r="E56" s="3"/>
      <c r="F56" s="22">
        <f t="shared" si="12"/>
        <v>0</v>
      </c>
      <c r="G56" s="3"/>
      <c r="H56" s="3">
        <v>308.7</v>
      </c>
      <c r="I56" s="3"/>
      <c r="J56" s="22">
        <f t="shared" si="13"/>
        <v>1.7662121049666665E-3</v>
      </c>
      <c r="K56" s="3"/>
      <c r="L56" s="3">
        <f t="shared" si="14"/>
        <v>-308.7</v>
      </c>
      <c r="M56" s="3"/>
      <c r="N56" s="22">
        <f t="shared" si="15"/>
        <v>-1</v>
      </c>
      <c r="O56" s="12"/>
      <c r="P56" s="3">
        <v>0</v>
      </c>
      <c r="Q56" s="3"/>
      <c r="R56" s="22">
        <f t="shared" si="16"/>
        <v>0</v>
      </c>
      <c r="S56" s="3"/>
      <c r="T56" s="3">
        <v>308.7</v>
      </c>
      <c r="U56" s="3"/>
      <c r="V56" s="22">
        <f t="shared" si="17"/>
        <v>1.7662121049666665E-3</v>
      </c>
      <c r="W56" s="3"/>
      <c r="X56" s="3">
        <f t="shared" si="18"/>
        <v>-308.7</v>
      </c>
      <c r="Y56" s="3"/>
      <c r="Z56" s="22">
        <f t="shared" si="19"/>
        <v>-1</v>
      </c>
    </row>
    <row r="57" spans="1:26" s="24" customFormat="1" hidden="1" outlineLevel="1" x14ac:dyDescent="0.3">
      <c r="A57" s="50"/>
      <c r="B57" s="12" t="str">
        <f>CONCATENATE("          ", "5044", " - ", "PURCHASES @ COST-ACCESSORIES")</f>
        <v xml:space="preserve">          5044 - PURCHASES @ COST-ACCESSORIES</v>
      </c>
      <c r="C57" s="12"/>
      <c r="D57" s="3">
        <v>0</v>
      </c>
      <c r="E57" s="3"/>
      <c r="F57" s="22">
        <f t="shared" si="12"/>
        <v>0</v>
      </c>
      <c r="G57" s="3"/>
      <c r="H57" s="3"/>
      <c r="I57" s="3"/>
      <c r="J57" s="22">
        <f t="shared" si="13"/>
        <v>0</v>
      </c>
      <c r="K57" s="3"/>
      <c r="L57" s="3">
        <f t="shared" si="14"/>
        <v>0</v>
      </c>
      <c r="M57" s="3"/>
      <c r="N57" s="22">
        <f t="shared" si="15"/>
        <v>0</v>
      </c>
      <c r="O57" s="12"/>
      <c r="P57" s="3">
        <v>0</v>
      </c>
      <c r="Q57" s="3"/>
      <c r="R57" s="22">
        <f t="shared" si="16"/>
        <v>0</v>
      </c>
      <c r="S57" s="3"/>
      <c r="T57" s="3"/>
      <c r="U57" s="3"/>
      <c r="V57" s="22">
        <f t="shared" si="17"/>
        <v>0</v>
      </c>
      <c r="W57" s="3"/>
      <c r="X57" s="3">
        <f t="shared" si="18"/>
        <v>0</v>
      </c>
      <c r="Y57" s="3"/>
      <c r="Z57" s="22">
        <f t="shared" si="19"/>
        <v>0</v>
      </c>
    </row>
    <row r="58" spans="1:26" s="24" customFormat="1" hidden="1" outlineLevel="1" x14ac:dyDescent="0.3">
      <c r="A58" s="50"/>
      <c r="B58" s="12" t="str">
        <f>CONCATENATE("          ", "5045", " - ", "PURCHASES @ COST-SPECIAL ORDER")</f>
        <v xml:space="preserve">          5045 - PURCHASES @ COST-SPECIAL ORDER</v>
      </c>
      <c r="C58" s="12"/>
      <c r="D58" s="3">
        <v>0</v>
      </c>
      <c r="E58" s="3"/>
      <c r="F58" s="22">
        <f t="shared" si="12"/>
        <v>0</v>
      </c>
      <c r="G58" s="3"/>
      <c r="H58" s="3">
        <v>2756.21</v>
      </c>
      <c r="I58" s="3"/>
      <c r="J58" s="22">
        <f t="shared" si="13"/>
        <v>1.5769522079138891E-2</v>
      </c>
      <c r="K58" s="3"/>
      <c r="L58" s="3">
        <f t="shared" si="14"/>
        <v>-2756.21</v>
      </c>
      <c r="M58" s="3"/>
      <c r="N58" s="22">
        <f t="shared" si="15"/>
        <v>-1</v>
      </c>
      <c r="O58" s="12"/>
      <c r="P58" s="3">
        <v>0</v>
      </c>
      <c r="Q58" s="3"/>
      <c r="R58" s="22">
        <f t="shared" si="16"/>
        <v>0</v>
      </c>
      <c r="S58" s="3"/>
      <c r="T58" s="3">
        <v>2756.21</v>
      </c>
      <c r="U58" s="3"/>
      <c r="V58" s="22">
        <f t="shared" si="17"/>
        <v>1.5769522079138891E-2</v>
      </c>
      <c r="W58" s="3"/>
      <c r="X58" s="3">
        <f t="shared" si="18"/>
        <v>-2756.21</v>
      </c>
      <c r="Y58" s="3"/>
      <c r="Z58" s="22">
        <f t="shared" si="19"/>
        <v>-1</v>
      </c>
    </row>
    <row r="59" spans="1:26" s="24" customFormat="1" hidden="1" outlineLevel="1" x14ac:dyDescent="0.3">
      <c r="A59" s="50"/>
      <c r="B59" s="12" t="str">
        <f>CONCATENATE("          ", "5200", " - ", "PURCHASES OFFSET")</f>
        <v xml:space="preserve">          5200 - PURCHASES OFFSET</v>
      </c>
      <c r="C59" s="12"/>
      <c r="D59" s="3">
        <v>-81956.95</v>
      </c>
      <c r="E59" s="3"/>
      <c r="F59" s="22">
        <f t="shared" si="12"/>
        <v>-0.52586531033367634</v>
      </c>
      <c r="G59" s="3"/>
      <c r="H59" s="3">
        <v>-13113.6</v>
      </c>
      <c r="I59" s="3"/>
      <c r="J59" s="22">
        <f t="shared" si="13"/>
        <v>-7.502882753382209E-2</v>
      </c>
      <c r="K59" s="3"/>
      <c r="L59" s="3">
        <f t="shared" si="14"/>
        <v>-68843.349999999991</v>
      </c>
      <c r="M59" s="3"/>
      <c r="N59" s="22">
        <f t="shared" si="15"/>
        <v>5.2497674170326984</v>
      </c>
      <c r="O59" s="12"/>
      <c r="P59" s="3">
        <v>-81956.95</v>
      </c>
      <c r="Q59" s="3"/>
      <c r="R59" s="22">
        <f t="shared" si="16"/>
        <v>-0.52586531033367634</v>
      </c>
      <c r="S59" s="3"/>
      <c r="T59" s="3">
        <v>-13113.6</v>
      </c>
      <c r="U59" s="3"/>
      <c r="V59" s="22">
        <f t="shared" si="17"/>
        <v>-7.502882753382209E-2</v>
      </c>
      <c r="W59" s="3"/>
      <c r="X59" s="3">
        <f t="shared" si="18"/>
        <v>-68843.349999999991</v>
      </c>
      <c r="Y59" s="3"/>
      <c r="Z59" s="22">
        <f t="shared" si="19"/>
        <v>5.2497674170326984</v>
      </c>
    </row>
    <row r="60" spans="1:26" s="24" customFormat="1" hidden="1" outlineLevel="1" x14ac:dyDescent="0.3">
      <c r="A60" s="50"/>
      <c r="B60" s="12" t="str">
        <f>CONCATENATE("          ", "5300", " - ", "COG$ OFFSET")</f>
        <v xml:space="preserve">          5300 - COG$ OFFSET</v>
      </c>
      <c r="C60" s="12"/>
      <c r="D60" s="3">
        <v>82719.69</v>
      </c>
      <c r="E60" s="3"/>
      <c r="F60" s="22">
        <f t="shared" si="12"/>
        <v>0.53075932489624744</v>
      </c>
      <c r="G60" s="3"/>
      <c r="H60" s="3">
        <v>109540</v>
      </c>
      <c r="I60" s="3"/>
      <c r="J60" s="22">
        <f t="shared" si="13"/>
        <v>0.62672780686118768</v>
      </c>
      <c r="K60" s="3"/>
      <c r="L60" s="3">
        <f t="shared" si="14"/>
        <v>-26820.309999999998</v>
      </c>
      <c r="M60" s="3"/>
      <c r="N60" s="22">
        <f t="shared" si="15"/>
        <v>-0.24484489684133648</v>
      </c>
      <c r="O60" s="12"/>
      <c r="P60" s="3">
        <v>82719.69</v>
      </c>
      <c r="Q60" s="3"/>
      <c r="R60" s="22">
        <f t="shared" si="16"/>
        <v>0.53075932489624744</v>
      </c>
      <c r="S60" s="3"/>
      <c r="T60" s="3">
        <v>109540</v>
      </c>
      <c r="U60" s="3"/>
      <c r="V60" s="22">
        <f t="shared" si="17"/>
        <v>0.62672780686118768</v>
      </c>
      <c r="W60" s="3"/>
      <c r="X60" s="3">
        <f t="shared" si="18"/>
        <v>-26820.309999999998</v>
      </c>
      <c r="Y60" s="3"/>
      <c r="Z60" s="22">
        <f t="shared" si="19"/>
        <v>-0.24484489684133648</v>
      </c>
    </row>
    <row r="61" spans="1:26" s="24" customFormat="1" hidden="1" outlineLevel="1" x14ac:dyDescent="0.3">
      <c r="A61" s="50"/>
      <c r="B61" s="12" t="str">
        <f>CONCATENATE("          ", "5500", " - ", "FREIGHT-IN")</f>
        <v xml:space="preserve">          5500 - FREIGHT-IN</v>
      </c>
      <c r="C61" s="12"/>
      <c r="D61" s="3">
        <v>1401.32</v>
      </c>
      <c r="E61" s="3"/>
      <c r="F61" s="22">
        <f t="shared" si="12"/>
        <v>8.9913738453759849E-3</v>
      </c>
      <c r="G61" s="3"/>
      <c r="H61" s="3"/>
      <c r="I61" s="3"/>
      <c r="J61" s="22">
        <f t="shared" si="13"/>
        <v>0</v>
      </c>
      <c r="K61" s="3"/>
      <c r="L61" s="3">
        <f t="shared" si="14"/>
        <v>1401.32</v>
      </c>
      <c r="M61" s="3"/>
      <c r="N61" s="22">
        <f t="shared" si="15"/>
        <v>0</v>
      </c>
      <c r="O61" s="12"/>
      <c r="P61" s="3">
        <v>1401.32</v>
      </c>
      <c r="Q61" s="3"/>
      <c r="R61" s="22">
        <f t="shared" si="16"/>
        <v>8.9913738453759849E-3</v>
      </c>
      <c r="S61" s="3"/>
      <c r="T61" s="3"/>
      <c r="U61" s="3"/>
      <c r="V61" s="22">
        <f t="shared" si="17"/>
        <v>0</v>
      </c>
      <c r="W61" s="3"/>
      <c r="X61" s="3">
        <f t="shared" si="18"/>
        <v>1401.32</v>
      </c>
      <c r="Y61" s="3"/>
      <c r="Z61" s="22">
        <f t="shared" si="19"/>
        <v>0</v>
      </c>
    </row>
    <row r="62" spans="1:26" s="24" customFormat="1" hidden="1" outlineLevel="1" x14ac:dyDescent="0.3">
      <c r="A62" s="50"/>
      <c r="B62" s="12" t="str">
        <f>CONCATENATE("          ", "5540", " - ", "FREIGHT-IN-LOGO CLOTHING")</f>
        <v xml:space="preserve">          5540 - FREIGHT-IN-LOGO CLOTHING</v>
      </c>
      <c r="C62" s="12"/>
      <c r="D62" s="3">
        <v>0</v>
      </c>
      <c r="E62" s="3"/>
      <c r="F62" s="22">
        <f t="shared" si="12"/>
        <v>0</v>
      </c>
      <c r="G62" s="3"/>
      <c r="H62" s="3">
        <v>909.83</v>
      </c>
      <c r="I62" s="3"/>
      <c r="J62" s="22">
        <f t="shared" si="13"/>
        <v>5.2055482975763593E-3</v>
      </c>
      <c r="K62" s="3"/>
      <c r="L62" s="3">
        <f t="shared" si="14"/>
        <v>-909.83</v>
      </c>
      <c r="M62" s="3"/>
      <c r="N62" s="22">
        <f t="shared" si="15"/>
        <v>-1</v>
      </c>
      <c r="O62" s="12"/>
      <c r="P62" s="3">
        <v>0</v>
      </c>
      <c r="Q62" s="3"/>
      <c r="R62" s="22">
        <f t="shared" si="16"/>
        <v>0</v>
      </c>
      <c r="S62" s="3"/>
      <c r="T62" s="3">
        <v>909.83</v>
      </c>
      <c r="U62" s="3"/>
      <c r="V62" s="22">
        <f t="shared" si="17"/>
        <v>5.2055482975763593E-3</v>
      </c>
      <c r="W62" s="3"/>
      <c r="X62" s="3">
        <f t="shared" si="18"/>
        <v>-909.83</v>
      </c>
      <c r="Y62" s="3"/>
      <c r="Z62" s="22">
        <f t="shared" si="19"/>
        <v>-1</v>
      </c>
    </row>
    <row r="63" spans="1:26" s="24" customFormat="1" hidden="1" outlineLevel="1" x14ac:dyDescent="0.3">
      <c r="A63" s="50"/>
      <c r="B63" s="12" t="str">
        <f>CONCATENATE("          ", "5541", " - ", "FREIGHT-IN-LOGO GIFTS")</f>
        <v xml:space="preserve">          5541 - FREIGHT-IN-LOGO GIFTS</v>
      </c>
      <c r="C63" s="12"/>
      <c r="D63" s="3">
        <v>0</v>
      </c>
      <c r="E63" s="3"/>
      <c r="F63" s="22">
        <f t="shared" si="12"/>
        <v>0</v>
      </c>
      <c r="G63" s="3"/>
      <c r="H63" s="3">
        <v>83.58</v>
      </c>
      <c r="I63" s="3"/>
      <c r="J63" s="22">
        <f t="shared" si="13"/>
        <v>4.7819892365764168E-4</v>
      </c>
      <c r="K63" s="3"/>
      <c r="L63" s="3">
        <f t="shared" si="14"/>
        <v>-83.58</v>
      </c>
      <c r="M63" s="3"/>
      <c r="N63" s="22">
        <f t="shared" si="15"/>
        <v>-1</v>
      </c>
      <c r="O63" s="12"/>
      <c r="P63" s="3">
        <v>0</v>
      </c>
      <c r="Q63" s="3"/>
      <c r="R63" s="22">
        <f t="shared" si="16"/>
        <v>0</v>
      </c>
      <c r="S63" s="3"/>
      <c r="T63" s="3">
        <v>83.58</v>
      </c>
      <c r="U63" s="3"/>
      <c r="V63" s="22">
        <f t="shared" si="17"/>
        <v>4.7819892365764168E-4</v>
      </c>
      <c r="W63" s="3"/>
      <c r="X63" s="3">
        <f t="shared" si="18"/>
        <v>-83.58</v>
      </c>
      <c r="Y63" s="3"/>
      <c r="Z63" s="22">
        <f t="shared" si="19"/>
        <v>-1</v>
      </c>
    </row>
    <row r="64" spans="1:26" s="24" customFormat="1" hidden="1" outlineLevel="1" x14ac:dyDescent="0.3">
      <c r="A64" s="50"/>
      <c r="B64" s="12" t="str">
        <f>CONCATENATE("          ", "5542", " - ", "FREIGHT-IN-EVERYDAY GIFTS")</f>
        <v xml:space="preserve">          5542 - FREIGHT-IN-EVERYDAY GIFTS</v>
      </c>
      <c r="C64" s="12"/>
      <c r="D64" s="3">
        <v>0</v>
      </c>
      <c r="E64" s="3"/>
      <c r="F64" s="22">
        <f t="shared" si="12"/>
        <v>0</v>
      </c>
      <c r="G64" s="3"/>
      <c r="H64" s="3">
        <v>5.94</v>
      </c>
      <c r="I64" s="3"/>
      <c r="J64" s="22">
        <f t="shared" si="13"/>
        <v>3.3985422427930025E-5</v>
      </c>
      <c r="K64" s="3"/>
      <c r="L64" s="3">
        <f t="shared" si="14"/>
        <v>-5.94</v>
      </c>
      <c r="M64" s="3"/>
      <c r="N64" s="22">
        <f t="shared" si="15"/>
        <v>-1</v>
      </c>
      <c r="O64" s="12"/>
      <c r="P64" s="3">
        <v>0</v>
      </c>
      <c r="Q64" s="3"/>
      <c r="R64" s="22">
        <f t="shared" si="16"/>
        <v>0</v>
      </c>
      <c r="S64" s="3"/>
      <c r="T64" s="3">
        <v>5.94</v>
      </c>
      <c r="U64" s="3"/>
      <c r="V64" s="22">
        <f t="shared" si="17"/>
        <v>3.3985422427930025E-5</v>
      </c>
      <c r="W64" s="3"/>
      <c r="X64" s="3">
        <f t="shared" si="18"/>
        <v>-5.94</v>
      </c>
      <c r="Y64" s="3"/>
      <c r="Z64" s="22">
        <f t="shared" si="19"/>
        <v>-1</v>
      </c>
    </row>
    <row r="65" spans="1:26" s="24" customFormat="1" hidden="1" outlineLevel="1" x14ac:dyDescent="0.3">
      <c r="A65" s="50"/>
      <c r="B65" s="12" t="str">
        <f>CONCATENATE("          ", "5544", " - ", "FREIGHT-IN-ACCESSORIES")</f>
        <v xml:space="preserve">          5544 - FREIGHT-IN-ACCESSORIES</v>
      </c>
      <c r="C65" s="12"/>
      <c r="D65" s="3">
        <v>0</v>
      </c>
      <c r="E65" s="3"/>
      <c r="F65" s="22">
        <f t="shared" si="12"/>
        <v>0</v>
      </c>
      <c r="G65" s="3"/>
      <c r="H65" s="3"/>
      <c r="I65" s="3"/>
      <c r="J65" s="22">
        <f t="shared" si="13"/>
        <v>0</v>
      </c>
      <c r="K65" s="3"/>
      <c r="L65" s="3">
        <f t="shared" si="14"/>
        <v>0</v>
      </c>
      <c r="M65" s="3"/>
      <c r="N65" s="22">
        <f t="shared" si="15"/>
        <v>0</v>
      </c>
      <c r="O65" s="12"/>
      <c r="P65" s="3">
        <v>0</v>
      </c>
      <c r="Q65" s="3"/>
      <c r="R65" s="22">
        <f t="shared" si="16"/>
        <v>0</v>
      </c>
      <c r="S65" s="3"/>
      <c r="T65" s="3"/>
      <c r="U65" s="3"/>
      <c r="V65" s="22">
        <f t="shared" si="17"/>
        <v>0</v>
      </c>
      <c r="W65" s="3"/>
      <c r="X65" s="3">
        <f t="shared" si="18"/>
        <v>0</v>
      </c>
      <c r="Y65" s="3"/>
      <c r="Z65" s="22">
        <f t="shared" si="19"/>
        <v>0</v>
      </c>
    </row>
    <row r="66" spans="1:26" s="24" customFormat="1" hidden="1" outlineLevel="1" x14ac:dyDescent="0.3">
      <c r="A66" s="50"/>
      <c r="B66" s="12" t="str">
        <f>CONCATENATE("          ", "5545", " - ", "FREIGHT-IN-SPECIAL ORDERS")</f>
        <v xml:space="preserve">          5545 - FREIGHT-IN-SPECIAL ORDERS</v>
      </c>
      <c r="C66" s="12"/>
      <c r="D66" s="3">
        <v>0</v>
      </c>
      <c r="E66" s="3"/>
      <c r="F66" s="22">
        <f t="shared" si="12"/>
        <v>0</v>
      </c>
      <c r="G66" s="3"/>
      <c r="H66" s="3">
        <v>300.39999999999998</v>
      </c>
      <c r="I66" s="3"/>
      <c r="J66" s="22">
        <f t="shared" si="13"/>
        <v>1.7187240567929595E-3</v>
      </c>
      <c r="K66" s="3"/>
      <c r="L66" s="3">
        <f t="shared" si="14"/>
        <v>-300.39999999999998</v>
      </c>
      <c r="M66" s="3"/>
      <c r="N66" s="22">
        <f t="shared" si="15"/>
        <v>-1</v>
      </c>
      <c r="O66" s="12"/>
      <c r="P66" s="3">
        <v>0</v>
      </c>
      <c r="Q66" s="3"/>
      <c r="R66" s="22">
        <f t="shared" si="16"/>
        <v>0</v>
      </c>
      <c r="S66" s="3"/>
      <c r="T66" s="3">
        <v>300.39999999999998</v>
      </c>
      <c r="U66" s="3"/>
      <c r="V66" s="22">
        <f t="shared" si="17"/>
        <v>1.7187240567929595E-3</v>
      </c>
      <c r="W66" s="3"/>
      <c r="X66" s="3">
        <f t="shared" si="18"/>
        <v>-300.39999999999998</v>
      </c>
      <c r="Y66" s="3"/>
      <c r="Z66" s="22">
        <f t="shared" si="19"/>
        <v>-1</v>
      </c>
    </row>
    <row r="67" spans="1:26" x14ac:dyDescent="0.3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x14ac:dyDescent="0.3">
      <c r="A68" s="10"/>
      <c r="B68" s="26" t="s">
        <v>107</v>
      </c>
      <c r="C68" s="26"/>
      <c r="D68" s="20">
        <f>D12-D50</f>
        <v>73131.909999999989</v>
      </c>
      <c r="E68" s="13"/>
      <c r="F68" s="21">
        <f>IF(D$12=0,0,D68/D$12)</f>
        <v>0.46924067510375245</v>
      </c>
      <c r="G68" s="13"/>
      <c r="H68" s="20">
        <f>H12-H50</f>
        <v>64240.879999999976</v>
      </c>
      <c r="I68" s="13"/>
      <c r="J68" s="21">
        <f>IF(H$12=0,0,H68/H$12)</f>
        <v>0.3675510848387139</v>
      </c>
      <c r="K68" s="16"/>
      <c r="L68" s="20">
        <f>+D68-H68</f>
        <v>8891.0300000000134</v>
      </c>
      <c r="M68" s="16"/>
      <c r="N68" s="21">
        <f>IF(H68=0,0,L68/H68)</f>
        <v>0.13840143534771032</v>
      </c>
      <c r="O68" s="25"/>
      <c r="P68" s="20">
        <f>P12-P50</f>
        <v>73131.909999999989</v>
      </c>
      <c r="Q68" s="13"/>
      <c r="R68" s="21">
        <f>IF(P$12=0,0,P68/P$12)</f>
        <v>0.46924067510375245</v>
      </c>
      <c r="S68" s="13"/>
      <c r="T68" s="20">
        <f>T12-T50</f>
        <v>64240.879999999976</v>
      </c>
      <c r="U68" s="13"/>
      <c r="V68" s="21">
        <f>IF(T$12=0,0,T68/T$12)</f>
        <v>0.3675510848387139</v>
      </c>
      <c r="W68" s="16"/>
      <c r="X68" s="20">
        <f>+P68-T68</f>
        <v>8891.0300000000134</v>
      </c>
      <c r="Y68" s="16"/>
      <c r="Z68" s="21">
        <f>IF(T68=0,0,X68/T68)</f>
        <v>0.13840143534771032</v>
      </c>
    </row>
    <row r="69" spans="1:26" x14ac:dyDescent="0.3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5" t="s">
        <v>294</v>
      </c>
      <c r="C70" s="10"/>
      <c r="D70" s="19">
        <f>SUM(OSRRefD22x_0)</f>
        <v>96192.790000000023</v>
      </c>
      <c r="E70" s="19"/>
      <c r="F70" s="35">
        <f t="shared" ref="F70:F79" si="20">IF(D$12=0,0,D70/D$12)</f>
        <v>0.61720758721758406</v>
      </c>
      <c r="G70" s="19"/>
      <c r="H70" s="19">
        <f>SUM(OSRRefH22x_0)</f>
        <v>62782.459999999992</v>
      </c>
      <c r="I70" s="19"/>
      <c r="J70" s="35">
        <f t="shared" ref="J70:J79" si="21">IF(H$12=0,0,H70/H$12)</f>
        <v>0.35920680541491912</v>
      </c>
      <c r="K70" s="4"/>
      <c r="L70" s="19">
        <f t="shared" ref="L70:L79" si="22">+D70-H70</f>
        <v>33410.330000000031</v>
      </c>
      <c r="M70" s="4"/>
      <c r="N70" s="35">
        <f t="shared" ref="N70:N79" si="23">IF(H70=0,0,L70/H70)</f>
        <v>0.53216025622443008</v>
      </c>
      <c r="O70" s="10"/>
      <c r="P70" s="19">
        <f>SUM(OSRRefP22x_0)</f>
        <v>96192.790000000023</v>
      </c>
      <c r="Q70" s="19"/>
      <c r="R70" s="35">
        <f t="shared" ref="R70:R79" si="24">IF(P$12=0,0,P70/P$12)</f>
        <v>0.61720758721758406</v>
      </c>
      <c r="S70" s="19"/>
      <c r="T70" s="19">
        <f>SUM(OSRRefT22x_0)</f>
        <v>62782.459999999992</v>
      </c>
      <c r="U70" s="19"/>
      <c r="V70" s="35">
        <f t="shared" ref="V70:V79" si="25">IF(T$12=0,0,T70/T$12)</f>
        <v>0.35920680541491912</v>
      </c>
      <c r="W70" s="4"/>
      <c r="X70" s="19">
        <f t="shared" ref="X70:X79" si="26">+P70-T70</f>
        <v>33410.330000000031</v>
      </c>
      <c r="Y70" s="4"/>
      <c r="Z70" s="35">
        <f t="shared" ref="Z70:Z79" si="27">IF(T70=0,0,X70/T70)</f>
        <v>0.53216025622443008</v>
      </c>
    </row>
    <row r="71" spans="1:26" s="29" customFormat="1" outlineLevel="1" collapsed="1" x14ac:dyDescent="0.3">
      <c r="A71" s="28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13678.2</v>
      </c>
      <c r="E71" s="1"/>
      <c r="F71" s="5">
        <f t="shared" si="20"/>
        <v>8.7764257793952707E-2</v>
      </c>
      <c r="G71" s="1"/>
      <c r="H71" s="1">
        <f>SUM(OSRRefH22_0x_0)</f>
        <v>13065.430000000002</v>
      </c>
      <c r="I71" s="1"/>
      <c r="J71" s="5">
        <f t="shared" si="21"/>
        <v>7.4753225210866983E-2</v>
      </c>
      <c r="K71" s="1"/>
      <c r="L71" s="1">
        <f t="shared" si="22"/>
        <v>612.76999999999862</v>
      </c>
      <c r="M71" s="1"/>
      <c r="N71" s="5">
        <f t="shared" si="23"/>
        <v>4.6900102024961941E-2</v>
      </c>
      <c r="O71" s="14"/>
      <c r="P71" s="1">
        <f>SUM(OSRRefP22_0x_0)</f>
        <v>13678.2</v>
      </c>
      <c r="Q71" s="1"/>
      <c r="R71" s="5">
        <f t="shared" si="24"/>
        <v>8.7764257793952707E-2</v>
      </c>
      <c r="S71" s="1"/>
      <c r="T71" s="1">
        <f>SUM(OSRRefT22_0x_0)</f>
        <v>13065.430000000002</v>
      </c>
      <c r="U71" s="1"/>
      <c r="V71" s="5">
        <f t="shared" si="25"/>
        <v>7.4753225210866983E-2</v>
      </c>
      <c r="W71" s="1"/>
      <c r="X71" s="1">
        <f t="shared" si="26"/>
        <v>612.76999999999862</v>
      </c>
      <c r="Y71" s="1"/>
      <c r="Z71" s="5">
        <f t="shared" si="27"/>
        <v>4.6900102024961941E-2</v>
      </c>
    </row>
    <row r="72" spans="1:26" s="24" customFormat="1" hidden="1" outlineLevel="2" x14ac:dyDescent="0.3">
      <c r="A72" s="27"/>
      <c r="B72" s="12" t="str">
        <f>CONCATENATE("          ", "6111", " - ", "F.I.C.A.")</f>
        <v xml:space="preserve">          6111 - F.I.C.A.</v>
      </c>
      <c r="C72" s="12"/>
      <c r="D72" s="8">
        <v>3257.4</v>
      </c>
      <c r="E72" s="3"/>
      <c r="F72" s="7">
        <f t="shared" si="20"/>
        <v>2.0900651645539732E-2</v>
      </c>
      <c r="G72" s="3"/>
      <c r="H72" s="8">
        <v>2072.21</v>
      </c>
      <c r="I72" s="3"/>
      <c r="J72" s="7">
        <f t="shared" si="21"/>
        <v>1.1856049193498464E-2</v>
      </c>
      <c r="K72" s="3"/>
      <c r="L72" s="8">
        <f t="shared" si="22"/>
        <v>1185.19</v>
      </c>
      <c r="M72" s="3"/>
      <c r="N72" s="7">
        <f t="shared" si="23"/>
        <v>0.57194492836150779</v>
      </c>
      <c r="O72" s="12"/>
      <c r="P72" s="8">
        <v>3257.4</v>
      </c>
      <c r="Q72" s="3"/>
      <c r="R72" s="7">
        <f t="shared" si="24"/>
        <v>2.0900651645539732E-2</v>
      </c>
      <c r="S72" s="3"/>
      <c r="T72" s="8">
        <v>2072.21</v>
      </c>
      <c r="U72" s="3"/>
      <c r="V72" s="7">
        <f t="shared" si="25"/>
        <v>1.1856049193498464E-2</v>
      </c>
      <c r="W72" s="3"/>
      <c r="X72" s="8">
        <f t="shared" si="26"/>
        <v>1185.19</v>
      </c>
      <c r="Y72" s="3"/>
      <c r="Z72" s="7">
        <f t="shared" si="27"/>
        <v>0.57194492836150779</v>
      </c>
    </row>
    <row r="73" spans="1:26" s="24" customFormat="1" hidden="1" outlineLevel="2" x14ac:dyDescent="0.3">
      <c r="A73" s="27"/>
      <c r="B73" s="12" t="str">
        <f>CONCATENATE("          ", "6112", " - ", "COMPENSATION INSURANCE")</f>
        <v xml:space="preserve">          6112 - COMPENSATION INSURANCE</v>
      </c>
      <c r="C73" s="12"/>
      <c r="D73" s="8">
        <v>734.03</v>
      </c>
      <c r="E73" s="3"/>
      <c r="F73" s="7">
        <f t="shared" si="20"/>
        <v>4.7098008618454987E-3</v>
      </c>
      <c r="G73" s="3"/>
      <c r="H73" s="8">
        <v>590.98</v>
      </c>
      <c r="I73" s="3"/>
      <c r="J73" s="7">
        <f t="shared" si="21"/>
        <v>3.3812634589996779E-3</v>
      </c>
      <c r="K73" s="3"/>
      <c r="L73" s="8">
        <f t="shared" si="22"/>
        <v>143.04999999999995</v>
      </c>
      <c r="M73" s="3"/>
      <c r="N73" s="7">
        <f t="shared" si="23"/>
        <v>0.24205556871636932</v>
      </c>
      <c r="O73" s="12"/>
      <c r="P73" s="8">
        <v>734.03</v>
      </c>
      <c r="Q73" s="3"/>
      <c r="R73" s="7">
        <f t="shared" si="24"/>
        <v>4.7098008618454987E-3</v>
      </c>
      <c r="S73" s="3"/>
      <c r="T73" s="8">
        <v>590.98</v>
      </c>
      <c r="U73" s="3"/>
      <c r="V73" s="7">
        <f t="shared" si="25"/>
        <v>3.3812634589996779E-3</v>
      </c>
      <c r="W73" s="3"/>
      <c r="X73" s="8">
        <f t="shared" si="26"/>
        <v>143.04999999999995</v>
      </c>
      <c r="Y73" s="3"/>
      <c r="Z73" s="7">
        <f t="shared" si="27"/>
        <v>0.24205556871636932</v>
      </c>
    </row>
    <row r="74" spans="1:26" s="24" customFormat="1" hidden="1" outlineLevel="2" x14ac:dyDescent="0.3">
      <c r="A74" s="27"/>
      <c r="B74" s="12" t="str">
        <f>CONCATENATE("          ", "6113", " - ", "GROUP INSURANCE")</f>
        <v xml:space="preserve">          6113 - GROUP INSURANCE</v>
      </c>
      <c r="C74" s="12"/>
      <c r="D74" s="8">
        <v>4811.13</v>
      </c>
      <c r="E74" s="3"/>
      <c r="F74" s="7">
        <f t="shared" si="20"/>
        <v>3.0869942945725291E-2</v>
      </c>
      <c r="G74" s="3"/>
      <c r="H74" s="8">
        <v>4838.6000000000004</v>
      </c>
      <c r="I74" s="3"/>
      <c r="J74" s="7">
        <f t="shared" si="21"/>
        <v>2.7683815649794989E-2</v>
      </c>
      <c r="K74" s="3"/>
      <c r="L74" s="8">
        <f t="shared" si="22"/>
        <v>-27.470000000000255</v>
      </c>
      <c r="M74" s="3"/>
      <c r="N74" s="7">
        <f t="shared" si="23"/>
        <v>-5.6772620179391256E-3</v>
      </c>
      <c r="O74" s="12"/>
      <c r="P74" s="8">
        <v>4811.13</v>
      </c>
      <c r="Q74" s="3"/>
      <c r="R74" s="7">
        <f t="shared" si="24"/>
        <v>3.0869942945725291E-2</v>
      </c>
      <c r="S74" s="3"/>
      <c r="T74" s="8">
        <v>4838.6000000000004</v>
      </c>
      <c r="U74" s="3"/>
      <c r="V74" s="7">
        <f t="shared" si="25"/>
        <v>2.7683815649794989E-2</v>
      </c>
      <c r="W74" s="3"/>
      <c r="X74" s="8">
        <f t="shared" si="26"/>
        <v>-27.470000000000255</v>
      </c>
      <c r="Y74" s="3"/>
      <c r="Z74" s="7">
        <f t="shared" si="27"/>
        <v>-5.6772620179391256E-3</v>
      </c>
    </row>
    <row r="75" spans="1:26" s="24" customFormat="1" hidden="1" outlineLevel="2" x14ac:dyDescent="0.3">
      <c r="A75" s="27"/>
      <c r="B75" s="12" t="str">
        <f>CONCATENATE("          ", "6114", " - ", "STATE UNEMPLOYMENT INSURANCE")</f>
        <v xml:space="preserve">          6114 - STATE UNEMPLOYMENT INSURANCE</v>
      </c>
      <c r="C75" s="12"/>
      <c r="D75" s="8">
        <v>128.94999999999999</v>
      </c>
      <c r="E75" s="3"/>
      <c r="F75" s="7">
        <f t="shared" si="20"/>
        <v>8.2738964502128941E-4</v>
      </c>
      <c r="G75" s="3"/>
      <c r="H75" s="8">
        <v>67.400000000000006</v>
      </c>
      <c r="I75" s="3"/>
      <c r="J75" s="7">
        <f t="shared" si="21"/>
        <v>3.8562583697684916E-4</v>
      </c>
      <c r="K75" s="3"/>
      <c r="L75" s="8">
        <f t="shared" si="22"/>
        <v>61.549999999999983</v>
      </c>
      <c r="M75" s="3"/>
      <c r="N75" s="7">
        <f t="shared" si="23"/>
        <v>0.91320474777448035</v>
      </c>
      <c r="O75" s="12"/>
      <c r="P75" s="8">
        <v>128.94999999999999</v>
      </c>
      <c r="Q75" s="3"/>
      <c r="R75" s="7">
        <f t="shared" si="24"/>
        <v>8.2738964502128941E-4</v>
      </c>
      <c r="S75" s="3"/>
      <c r="T75" s="8">
        <v>67.400000000000006</v>
      </c>
      <c r="U75" s="3"/>
      <c r="V75" s="7">
        <f t="shared" si="25"/>
        <v>3.8562583697684916E-4</v>
      </c>
      <c r="W75" s="3"/>
      <c r="X75" s="8">
        <f t="shared" si="26"/>
        <v>61.549999999999983</v>
      </c>
      <c r="Y75" s="3"/>
      <c r="Z75" s="7">
        <f t="shared" si="27"/>
        <v>0.91320474777448035</v>
      </c>
    </row>
    <row r="76" spans="1:26" s="24" customFormat="1" hidden="1" outlineLevel="2" x14ac:dyDescent="0.3">
      <c r="A76" s="27"/>
      <c r="B76" s="12" t="str">
        <f>CONCATENATE("          ", "6115", " - ", "P.E.R.S.")</f>
        <v xml:space="preserve">          6115 - P.E.R.S.</v>
      </c>
      <c r="C76" s="12"/>
      <c r="D76" s="8">
        <v>1579.48</v>
      </c>
      <c r="E76" s="3"/>
      <c r="F76" s="7">
        <f t="shared" si="20"/>
        <v>1.0134512574782678E-2</v>
      </c>
      <c r="G76" s="3"/>
      <c r="H76" s="8">
        <v>2512.37</v>
      </c>
      <c r="I76" s="3"/>
      <c r="J76" s="7">
        <f t="shared" si="21"/>
        <v>1.4374403324117602E-2</v>
      </c>
      <c r="K76" s="3"/>
      <c r="L76" s="8">
        <f t="shared" si="22"/>
        <v>-932.88999999999987</v>
      </c>
      <c r="M76" s="3"/>
      <c r="N76" s="7">
        <f t="shared" si="23"/>
        <v>-0.37131871499818891</v>
      </c>
      <c r="O76" s="12"/>
      <c r="P76" s="8">
        <v>1579.48</v>
      </c>
      <c r="Q76" s="3"/>
      <c r="R76" s="7">
        <f t="shared" si="24"/>
        <v>1.0134512574782678E-2</v>
      </c>
      <c r="S76" s="3"/>
      <c r="T76" s="8">
        <v>2512.37</v>
      </c>
      <c r="U76" s="3"/>
      <c r="V76" s="7">
        <f t="shared" si="25"/>
        <v>1.4374403324117602E-2</v>
      </c>
      <c r="W76" s="3"/>
      <c r="X76" s="8">
        <f t="shared" si="26"/>
        <v>-932.88999999999987</v>
      </c>
      <c r="Y76" s="3"/>
      <c r="Z76" s="7">
        <f t="shared" si="27"/>
        <v>-0.37131871499818891</v>
      </c>
    </row>
    <row r="77" spans="1:26" s="24" customFormat="1" hidden="1" outlineLevel="2" x14ac:dyDescent="0.3">
      <c r="A77" s="27"/>
      <c r="B77" s="12" t="str">
        <f>CONCATENATE("          ", "6118", " - ", "VACATION")</f>
        <v xml:space="preserve">          6118 - VACATION</v>
      </c>
      <c r="C77" s="12"/>
      <c r="D77" s="8">
        <v>1659.06</v>
      </c>
      <c r="E77" s="3"/>
      <c r="F77" s="7">
        <f t="shared" si="20"/>
        <v>1.064512651779E-2</v>
      </c>
      <c r="G77" s="3"/>
      <c r="H77" s="8">
        <v>1625.03</v>
      </c>
      <c r="I77" s="3"/>
      <c r="J77" s="7">
        <f t="shared" si="21"/>
        <v>9.2975304727372261E-3</v>
      </c>
      <c r="K77" s="3"/>
      <c r="L77" s="8">
        <f t="shared" si="22"/>
        <v>34.029999999999973</v>
      </c>
      <c r="M77" s="3"/>
      <c r="N77" s="7">
        <f t="shared" si="23"/>
        <v>2.0941151855658032E-2</v>
      </c>
      <c r="O77" s="12"/>
      <c r="P77" s="8">
        <v>1659.06</v>
      </c>
      <c r="Q77" s="3"/>
      <c r="R77" s="7">
        <f t="shared" si="24"/>
        <v>1.064512651779E-2</v>
      </c>
      <c r="S77" s="3"/>
      <c r="T77" s="8">
        <v>1625.03</v>
      </c>
      <c r="U77" s="3"/>
      <c r="V77" s="7">
        <f t="shared" si="25"/>
        <v>9.2975304727372261E-3</v>
      </c>
      <c r="W77" s="3"/>
      <c r="X77" s="8">
        <f t="shared" si="26"/>
        <v>34.029999999999973</v>
      </c>
      <c r="Y77" s="3"/>
      <c r="Z77" s="7">
        <f t="shared" si="27"/>
        <v>2.0941151855658032E-2</v>
      </c>
    </row>
    <row r="78" spans="1:26" s="24" customFormat="1" hidden="1" outlineLevel="2" x14ac:dyDescent="0.3">
      <c r="A78" s="27"/>
      <c r="B78" s="12" t="str">
        <f>CONCATENATE("          ", "6119", " - ", "SICK LEAVE")</f>
        <v xml:space="preserve">          6119 - SICK LEAVE</v>
      </c>
      <c r="C78" s="12"/>
      <c r="D78" s="8">
        <v>1120.42</v>
      </c>
      <c r="E78" s="3"/>
      <c r="F78" s="7">
        <f t="shared" si="20"/>
        <v>7.1890182712272448E-3</v>
      </c>
      <c r="G78" s="3"/>
      <c r="H78" s="8">
        <v>1000.53</v>
      </c>
      <c r="I78" s="3"/>
      <c r="J78" s="7">
        <f t="shared" si="21"/>
        <v>5.7244839565348191E-3</v>
      </c>
      <c r="K78" s="3"/>
      <c r="L78" s="8">
        <f t="shared" si="22"/>
        <v>119.8900000000001</v>
      </c>
      <c r="M78" s="3"/>
      <c r="N78" s="7">
        <f t="shared" si="23"/>
        <v>0.11982649195926169</v>
      </c>
      <c r="O78" s="12"/>
      <c r="P78" s="8">
        <v>1120.42</v>
      </c>
      <c r="Q78" s="3"/>
      <c r="R78" s="7">
        <f t="shared" si="24"/>
        <v>7.1890182712272448E-3</v>
      </c>
      <c r="S78" s="3"/>
      <c r="T78" s="8">
        <v>1000.53</v>
      </c>
      <c r="U78" s="3"/>
      <c r="V78" s="7">
        <f t="shared" si="25"/>
        <v>5.7244839565348191E-3</v>
      </c>
      <c r="W78" s="3"/>
      <c r="X78" s="8">
        <f t="shared" si="26"/>
        <v>119.8900000000001</v>
      </c>
      <c r="Y78" s="3"/>
      <c r="Z78" s="7">
        <f t="shared" si="27"/>
        <v>0.11982649195926169</v>
      </c>
    </row>
    <row r="79" spans="1:26" s="24" customFormat="1" hidden="1" outlineLevel="2" x14ac:dyDescent="0.3">
      <c r="A79" s="27"/>
      <c r="B79" s="12" t="str">
        <f>CONCATENATE("          ", "6156", " - ", "EMPLOYEE MEALS")</f>
        <v xml:space="preserve">          6156 - EMPLOYEE MEALS</v>
      </c>
      <c r="C79" s="12"/>
      <c r="D79" s="8">
        <v>387.73</v>
      </c>
      <c r="E79" s="3"/>
      <c r="F79" s="7">
        <f t="shared" si="20"/>
        <v>2.4878153320209736E-3</v>
      </c>
      <c r="G79" s="3"/>
      <c r="H79" s="8">
        <v>358.31</v>
      </c>
      <c r="I79" s="3"/>
      <c r="J79" s="7">
        <f t="shared" si="21"/>
        <v>2.0500533182073412E-3</v>
      </c>
      <c r="K79" s="3"/>
      <c r="L79" s="8">
        <f t="shared" si="22"/>
        <v>29.420000000000016</v>
      </c>
      <c r="M79" s="3"/>
      <c r="N79" s="7">
        <f t="shared" si="23"/>
        <v>8.2107672127487416E-2</v>
      </c>
      <c r="O79" s="12"/>
      <c r="P79" s="8">
        <v>387.73</v>
      </c>
      <c r="Q79" s="3"/>
      <c r="R79" s="7">
        <f t="shared" si="24"/>
        <v>2.4878153320209736E-3</v>
      </c>
      <c r="S79" s="3"/>
      <c r="T79" s="8">
        <v>358.31</v>
      </c>
      <c r="U79" s="3"/>
      <c r="V79" s="7">
        <f t="shared" si="25"/>
        <v>2.0500533182073412E-3</v>
      </c>
      <c r="W79" s="3"/>
      <c r="X79" s="8">
        <f t="shared" si="26"/>
        <v>29.420000000000016</v>
      </c>
      <c r="Y79" s="3"/>
      <c r="Z79" s="7">
        <f t="shared" si="27"/>
        <v>8.2107672127487416E-2</v>
      </c>
    </row>
    <row r="80" spans="1:26" s="29" customFormat="1" outlineLevel="1" collapsed="1" x14ac:dyDescent="0.3">
      <c r="A80" s="28"/>
      <c r="B80" s="14" t="str">
        <f>CONCATENATE("     ","*Payroll                                          ")</f>
        <v xml:space="preserve">     *Payroll                                          </v>
      </c>
      <c r="C80" s="14"/>
      <c r="D80" s="1">
        <f>SUM(OSRRefD22_1x_0)</f>
        <v>59216.320000000007</v>
      </c>
      <c r="E80" s="1"/>
      <c r="F80" s="5">
        <f t="shared" ref="F80:F85" si="28">IF(D$12=0,0,D80/D$12)</f>
        <v>0.37995323756701893</v>
      </c>
      <c r="G80" s="1"/>
      <c r="H80" s="1">
        <f>SUM(OSRRefH22_1x_0)</f>
        <v>32293.550000000003</v>
      </c>
      <c r="I80" s="1"/>
      <c r="J80" s="5">
        <f t="shared" ref="J80:J85" si="29">IF(H$12=0,0,H80/H$12)</f>
        <v>0.18476598290361612</v>
      </c>
      <c r="K80" s="1"/>
      <c r="L80" s="1">
        <f t="shared" ref="L80:L85" si="30">+D80-H80</f>
        <v>26922.770000000004</v>
      </c>
      <c r="M80" s="1"/>
      <c r="N80" s="5">
        <f t="shared" ref="N80:N85" si="31">IF(H80=0,0,L80/H80)</f>
        <v>0.83368877066782687</v>
      </c>
      <c r="O80" s="14"/>
      <c r="P80" s="1">
        <f>SUM(OSRRefP22_1x_0)</f>
        <v>59216.320000000007</v>
      </c>
      <c r="Q80" s="1"/>
      <c r="R80" s="5">
        <f t="shared" ref="R80:R85" si="32">IF(P$12=0,0,P80/P$12)</f>
        <v>0.37995323756701893</v>
      </c>
      <c r="S80" s="1"/>
      <c r="T80" s="1">
        <f>SUM(OSRRefT22_1x_0)</f>
        <v>32293.550000000003</v>
      </c>
      <c r="U80" s="1"/>
      <c r="V80" s="5">
        <f t="shared" ref="V80:V85" si="33">IF(T$12=0,0,T80/T$12)</f>
        <v>0.18476598290361612</v>
      </c>
      <c r="W80" s="1"/>
      <c r="X80" s="1">
        <f t="shared" ref="X80:X85" si="34">+P80-T80</f>
        <v>26922.770000000004</v>
      </c>
      <c r="Y80" s="1"/>
      <c r="Z80" s="5">
        <f t="shared" ref="Z80:Z85" si="35">IF(T80=0,0,X80/T80)</f>
        <v>0.83368877066782687</v>
      </c>
    </row>
    <row r="81" spans="1:26" s="24" customFormat="1" hidden="1" outlineLevel="2" x14ac:dyDescent="0.3">
      <c r="A81" s="27"/>
      <c r="B81" s="12" t="str">
        <f>CONCATENATE("          ", "6002", " - ", "STAFF SALARIES")</f>
        <v xml:space="preserve">          6002 - STAFF SALARIES</v>
      </c>
      <c r="C81" s="12"/>
      <c r="D81" s="8">
        <v>17125.82</v>
      </c>
      <c r="E81" s="3"/>
      <c r="F81" s="7">
        <f t="shared" si="28"/>
        <v>0.10988542947265219</v>
      </c>
      <c r="G81" s="3"/>
      <c r="H81" s="8">
        <v>22090.400000000001</v>
      </c>
      <c r="I81" s="3"/>
      <c r="J81" s="7">
        <f t="shared" si="29"/>
        <v>0.12638915414174168</v>
      </c>
      <c r="K81" s="3"/>
      <c r="L81" s="8">
        <f t="shared" si="30"/>
        <v>-4964.5800000000017</v>
      </c>
      <c r="M81" s="3"/>
      <c r="N81" s="7">
        <f t="shared" si="31"/>
        <v>-0.22473925325028074</v>
      </c>
      <c r="O81" s="12"/>
      <c r="P81" s="8">
        <v>17125.82</v>
      </c>
      <c r="Q81" s="3"/>
      <c r="R81" s="7">
        <f t="shared" si="32"/>
        <v>0.10988542947265219</v>
      </c>
      <c r="S81" s="3"/>
      <c r="T81" s="8">
        <v>22090.400000000001</v>
      </c>
      <c r="U81" s="3"/>
      <c r="V81" s="7">
        <f t="shared" si="33"/>
        <v>0.12638915414174168</v>
      </c>
      <c r="W81" s="3"/>
      <c r="X81" s="8">
        <f t="shared" si="34"/>
        <v>-4964.5800000000017</v>
      </c>
      <c r="Y81" s="3"/>
      <c r="Z81" s="7">
        <f t="shared" si="35"/>
        <v>-0.22473925325028074</v>
      </c>
    </row>
    <row r="82" spans="1:26" s="24" customFormat="1" hidden="1" outlineLevel="2" x14ac:dyDescent="0.3">
      <c r="A82" s="27"/>
      <c r="B82" s="12" t="str">
        <f>CONCATENATE("          ", "6004", " - ", "STAFF HOURLY")</f>
        <v xml:space="preserve">          6004 - STAFF HOURLY</v>
      </c>
      <c r="C82" s="12"/>
      <c r="D82" s="8">
        <v>8345.83</v>
      </c>
      <c r="E82" s="3"/>
      <c r="F82" s="7">
        <f t="shared" si="28"/>
        <v>5.3549851268771057E-2</v>
      </c>
      <c r="G82" s="3"/>
      <c r="H82" s="8">
        <v>6739.72</v>
      </c>
      <c r="I82" s="3"/>
      <c r="J82" s="7">
        <f t="shared" si="29"/>
        <v>3.8560981691240497E-2</v>
      </c>
      <c r="K82" s="3"/>
      <c r="L82" s="8">
        <f t="shared" si="30"/>
        <v>1606.1099999999997</v>
      </c>
      <c r="M82" s="3"/>
      <c r="N82" s="7">
        <f t="shared" si="31"/>
        <v>0.23830515214281894</v>
      </c>
      <c r="O82" s="12"/>
      <c r="P82" s="8">
        <v>8345.83</v>
      </c>
      <c r="Q82" s="3"/>
      <c r="R82" s="7">
        <f t="shared" si="32"/>
        <v>5.3549851268771057E-2</v>
      </c>
      <c r="S82" s="3"/>
      <c r="T82" s="8">
        <v>6739.72</v>
      </c>
      <c r="U82" s="3"/>
      <c r="V82" s="7">
        <f t="shared" si="33"/>
        <v>3.8560981691240497E-2</v>
      </c>
      <c r="W82" s="3"/>
      <c r="X82" s="8">
        <f t="shared" si="34"/>
        <v>1606.1099999999997</v>
      </c>
      <c r="Y82" s="3"/>
      <c r="Z82" s="7">
        <f t="shared" si="35"/>
        <v>0.23830515214281894</v>
      </c>
    </row>
    <row r="83" spans="1:26" s="24" customFormat="1" hidden="1" outlineLevel="2" x14ac:dyDescent="0.3">
      <c r="A83" s="27"/>
      <c r="B83" s="12" t="str">
        <f>CONCATENATE("          ", "6005", " - ", "TEMPORARY WAGES-HOURLY")</f>
        <v xml:space="preserve">          6005 - TEMPORARY WAGES-HOURLY</v>
      </c>
      <c r="C83" s="12"/>
      <c r="D83" s="8">
        <v>3365.77</v>
      </c>
      <c r="E83" s="3"/>
      <c r="F83" s="7">
        <f t="shared" si="28"/>
        <v>2.1595992598086897E-2</v>
      </c>
      <c r="G83" s="3"/>
      <c r="H83" s="8">
        <v>1937.43</v>
      </c>
      <c r="I83" s="3"/>
      <c r="J83" s="7">
        <f t="shared" si="29"/>
        <v>1.108491194857651E-2</v>
      </c>
      <c r="K83" s="3"/>
      <c r="L83" s="8">
        <f t="shared" si="30"/>
        <v>1428.34</v>
      </c>
      <c r="M83" s="3"/>
      <c r="N83" s="7">
        <f t="shared" si="31"/>
        <v>0.73723437750009024</v>
      </c>
      <c r="O83" s="12"/>
      <c r="P83" s="8">
        <v>3365.77</v>
      </c>
      <c r="Q83" s="3"/>
      <c r="R83" s="7">
        <f t="shared" si="32"/>
        <v>2.1595992598086897E-2</v>
      </c>
      <c r="S83" s="3"/>
      <c r="T83" s="8">
        <v>1937.43</v>
      </c>
      <c r="U83" s="3"/>
      <c r="V83" s="7">
        <f t="shared" si="33"/>
        <v>1.108491194857651E-2</v>
      </c>
      <c r="W83" s="3"/>
      <c r="X83" s="8">
        <f t="shared" si="34"/>
        <v>1428.34</v>
      </c>
      <c r="Y83" s="3"/>
      <c r="Z83" s="7">
        <f t="shared" si="35"/>
        <v>0.73723437750009024</v>
      </c>
    </row>
    <row r="84" spans="1:26" s="24" customFormat="1" hidden="1" outlineLevel="2" x14ac:dyDescent="0.3">
      <c r="A84" s="27"/>
      <c r="B84" s="12" t="str">
        <f>CONCATENATE("          ", "6007", " - ", "STUDENT HOURLY")</f>
        <v xml:space="preserve">          6007 - STUDENT HOURLY</v>
      </c>
      <c r="C84" s="12"/>
      <c r="D84" s="8">
        <v>22560.71</v>
      </c>
      <c r="E84" s="3"/>
      <c r="F84" s="7">
        <f t="shared" si="28"/>
        <v>0.14475764124333659</v>
      </c>
      <c r="G84" s="3"/>
      <c r="H84" s="8">
        <v>1526</v>
      </c>
      <c r="I84" s="3"/>
      <c r="J84" s="7">
        <f t="shared" si="29"/>
        <v>8.7309351220574444E-3</v>
      </c>
      <c r="K84" s="3"/>
      <c r="L84" s="8">
        <f t="shared" si="30"/>
        <v>21034.71</v>
      </c>
      <c r="M84" s="3"/>
      <c r="N84" s="7">
        <f t="shared" si="31"/>
        <v>13.78421363040629</v>
      </c>
      <c r="O84" s="12"/>
      <c r="P84" s="8">
        <v>22560.71</v>
      </c>
      <c r="Q84" s="3"/>
      <c r="R84" s="7">
        <f t="shared" si="32"/>
        <v>0.14475764124333659</v>
      </c>
      <c r="S84" s="3"/>
      <c r="T84" s="8">
        <v>1526</v>
      </c>
      <c r="U84" s="3"/>
      <c r="V84" s="7">
        <f t="shared" si="33"/>
        <v>8.7309351220574444E-3</v>
      </c>
      <c r="W84" s="3"/>
      <c r="X84" s="8">
        <f t="shared" si="34"/>
        <v>21034.71</v>
      </c>
      <c r="Y84" s="3"/>
      <c r="Z84" s="7">
        <f t="shared" si="35"/>
        <v>13.78421363040629</v>
      </c>
    </row>
    <row r="85" spans="1:26" s="24" customFormat="1" hidden="1" outlineLevel="2" x14ac:dyDescent="0.3">
      <c r="A85" s="27"/>
      <c r="B85" s="12" t="str">
        <f>CONCATENATE("          ", "6008", " - ", "STUDENT HOURLY-FICA EXEMPT")</f>
        <v xml:space="preserve">          6008 - STUDENT HOURLY-FICA EXEMPT</v>
      </c>
      <c r="C85" s="12"/>
      <c r="D85" s="8">
        <v>7818.19</v>
      </c>
      <c r="E85" s="3"/>
      <c r="F85" s="7">
        <f t="shared" si="28"/>
        <v>5.0164322984172116E-2</v>
      </c>
      <c r="G85" s="3"/>
      <c r="H85" s="8"/>
      <c r="I85" s="3"/>
      <c r="J85" s="7">
        <f t="shared" si="29"/>
        <v>0</v>
      </c>
      <c r="K85" s="3"/>
      <c r="L85" s="8">
        <f t="shared" si="30"/>
        <v>7818.19</v>
      </c>
      <c r="M85" s="3"/>
      <c r="N85" s="7">
        <f t="shared" si="31"/>
        <v>0</v>
      </c>
      <c r="O85" s="12"/>
      <c r="P85" s="8">
        <v>7818.19</v>
      </c>
      <c r="Q85" s="3"/>
      <c r="R85" s="7">
        <f t="shared" si="32"/>
        <v>5.0164322984172116E-2</v>
      </c>
      <c r="S85" s="3"/>
      <c r="T85" s="8"/>
      <c r="U85" s="3"/>
      <c r="V85" s="7">
        <f t="shared" si="33"/>
        <v>0</v>
      </c>
      <c r="W85" s="3"/>
      <c r="X85" s="8">
        <f t="shared" si="34"/>
        <v>7818.19</v>
      </c>
      <c r="Y85" s="3"/>
      <c r="Z85" s="7">
        <f t="shared" si="35"/>
        <v>0</v>
      </c>
    </row>
    <row r="86" spans="1:26" s="29" customFormat="1" outlineLevel="1" collapsed="1" x14ac:dyDescent="0.3">
      <c r="A86" s="28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393.63</v>
      </c>
      <c r="E86" s="1"/>
      <c r="F86" s="5">
        <f t="shared" ref="F86:F98" si="36">IF(D$12=0,0,D86/D$12)</f>
        <v>2.5256718570742936E-3</v>
      </c>
      <c r="G86" s="1"/>
      <c r="H86" s="1">
        <f>SUM(OSRRefH22_2x_0)</f>
        <v>1340.93</v>
      </c>
      <c r="I86" s="1"/>
      <c r="J86" s="5">
        <f t="shared" ref="J86:J98" si="37">IF(H$12=0,0,H86/H$12)</f>
        <v>7.6720660768155235E-3</v>
      </c>
      <c r="K86" s="1"/>
      <c r="L86" s="1">
        <f t="shared" ref="L86:L98" si="38">+D86-H86</f>
        <v>-947.30000000000007</v>
      </c>
      <c r="M86" s="1"/>
      <c r="N86" s="5">
        <f t="shared" ref="N86:N98" si="39">IF(H86=0,0,L86/H86)</f>
        <v>-0.70645000111862666</v>
      </c>
      <c r="O86" s="14"/>
      <c r="P86" s="1">
        <f>SUM(OSRRefP22_2x_0)</f>
        <v>393.63</v>
      </c>
      <c r="Q86" s="1"/>
      <c r="R86" s="5">
        <f t="shared" ref="R86:R98" si="40">IF(P$12=0,0,P86/P$12)</f>
        <v>2.5256718570742936E-3</v>
      </c>
      <c r="S86" s="1"/>
      <c r="T86" s="1">
        <f>SUM(OSRRefT22_2x_0)</f>
        <v>1340.93</v>
      </c>
      <c r="U86" s="1"/>
      <c r="V86" s="5">
        <f t="shared" ref="V86:V98" si="41">IF(T$12=0,0,T86/T$12)</f>
        <v>7.6720660768155235E-3</v>
      </c>
      <c r="W86" s="1"/>
      <c r="X86" s="1">
        <f t="shared" ref="X86:X98" si="42">+P86-T86</f>
        <v>-947.30000000000007</v>
      </c>
      <c r="Y86" s="1"/>
      <c r="Z86" s="5">
        <f t="shared" ref="Z86:Z98" si="43">IF(T86=0,0,X86/T86)</f>
        <v>-0.70645000111862666</v>
      </c>
    </row>
    <row r="87" spans="1:26" s="24" customFormat="1" hidden="1" outlineLevel="2" x14ac:dyDescent="0.3">
      <c r="A87" s="27"/>
      <c r="B87" s="12" t="str">
        <f>CONCATENATE("          ", "6362", " - ", "ADVERTISING EXPENSE")</f>
        <v xml:space="preserve">          6362 - ADVERTISING EXPENSE</v>
      </c>
      <c r="C87" s="12"/>
      <c r="D87" s="8">
        <v>393.63</v>
      </c>
      <c r="E87" s="3"/>
      <c r="F87" s="7">
        <f t="shared" si="36"/>
        <v>2.5256718570742936E-3</v>
      </c>
      <c r="G87" s="3"/>
      <c r="H87" s="8">
        <v>1340.93</v>
      </c>
      <c r="I87" s="3"/>
      <c r="J87" s="7">
        <f t="shared" si="37"/>
        <v>7.6720660768155235E-3</v>
      </c>
      <c r="K87" s="3"/>
      <c r="L87" s="8">
        <f t="shared" si="38"/>
        <v>-947.30000000000007</v>
      </c>
      <c r="M87" s="3"/>
      <c r="N87" s="7">
        <f t="shared" si="39"/>
        <v>-0.70645000111862666</v>
      </c>
      <c r="O87" s="12"/>
      <c r="P87" s="8">
        <v>393.63</v>
      </c>
      <c r="Q87" s="3"/>
      <c r="R87" s="7">
        <f t="shared" si="40"/>
        <v>2.5256718570742936E-3</v>
      </c>
      <c r="S87" s="3"/>
      <c r="T87" s="8">
        <v>1340.93</v>
      </c>
      <c r="U87" s="3"/>
      <c r="V87" s="7">
        <f t="shared" si="41"/>
        <v>7.6720660768155235E-3</v>
      </c>
      <c r="W87" s="3"/>
      <c r="X87" s="8">
        <f t="shared" si="42"/>
        <v>-947.30000000000007</v>
      </c>
      <c r="Y87" s="3"/>
      <c r="Z87" s="7">
        <f t="shared" si="43"/>
        <v>-0.70645000111862666</v>
      </c>
    </row>
    <row r="88" spans="1:26" s="29" customFormat="1" outlineLevel="1" collapsed="1" x14ac:dyDescent="0.3">
      <c r="A88" s="28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SUM(OSRRefD22_3x_0)</f>
        <v>0.6</v>
      </c>
      <c r="E88" s="1"/>
      <c r="F88" s="5">
        <f t="shared" si="36"/>
        <v>3.8498161071172828E-6</v>
      </c>
      <c r="G88" s="1"/>
      <c r="H88" s="1">
        <f>SUM(OSRRefH22_3x_0)</f>
        <v>-0.9</v>
      </c>
      <c r="I88" s="1"/>
      <c r="J88" s="5">
        <f t="shared" si="37"/>
        <v>-5.1493064284742461E-6</v>
      </c>
      <c r="K88" s="1"/>
      <c r="L88" s="1">
        <f t="shared" si="38"/>
        <v>1.5</v>
      </c>
      <c r="M88" s="1"/>
      <c r="N88" s="5">
        <f t="shared" si="39"/>
        <v>-1.6666666666666665</v>
      </c>
      <c r="O88" s="14"/>
      <c r="P88" s="1">
        <f>SUM(OSRRefP22_3x_0)</f>
        <v>0.6</v>
      </c>
      <c r="Q88" s="1"/>
      <c r="R88" s="5">
        <f t="shared" si="40"/>
        <v>3.8498161071172828E-6</v>
      </c>
      <c r="S88" s="1"/>
      <c r="T88" s="1">
        <f>SUM(OSRRefT22_3x_0)</f>
        <v>-0.9</v>
      </c>
      <c r="U88" s="1"/>
      <c r="V88" s="5">
        <f t="shared" si="41"/>
        <v>-5.1493064284742461E-6</v>
      </c>
      <c r="W88" s="1"/>
      <c r="X88" s="1">
        <f t="shared" si="42"/>
        <v>1.5</v>
      </c>
      <c r="Y88" s="1"/>
      <c r="Z88" s="5">
        <f t="shared" si="43"/>
        <v>-1.6666666666666665</v>
      </c>
    </row>
    <row r="89" spans="1:26" s="24" customFormat="1" hidden="1" outlineLevel="2" x14ac:dyDescent="0.3">
      <c r="A89" s="27"/>
      <c r="B89" s="12" t="str">
        <f>CONCATENATE("          ", "6272", " - ", "CASH (OVER/SHORT)")</f>
        <v xml:space="preserve">          6272 - CASH (OVER/SHORT)</v>
      </c>
      <c r="C89" s="12"/>
      <c r="D89" s="8">
        <v>0.6</v>
      </c>
      <c r="E89" s="3"/>
      <c r="F89" s="7">
        <f t="shared" si="36"/>
        <v>3.8498161071172828E-6</v>
      </c>
      <c r="G89" s="3"/>
      <c r="H89" s="8">
        <v>-0.9</v>
      </c>
      <c r="I89" s="3"/>
      <c r="J89" s="7">
        <f t="shared" si="37"/>
        <v>-5.1493064284742461E-6</v>
      </c>
      <c r="K89" s="3"/>
      <c r="L89" s="8">
        <f t="shared" si="38"/>
        <v>1.5</v>
      </c>
      <c r="M89" s="3"/>
      <c r="N89" s="7">
        <f t="shared" si="39"/>
        <v>-1.6666666666666665</v>
      </c>
      <c r="O89" s="12"/>
      <c r="P89" s="8">
        <v>0.6</v>
      </c>
      <c r="Q89" s="3"/>
      <c r="R89" s="7">
        <f t="shared" si="40"/>
        <v>3.8498161071172828E-6</v>
      </c>
      <c r="S89" s="3"/>
      <c r="T89" s="8">
        <v>-0.9</v>
      </c>
      <c r="U89" s="3"/>
      <c r="V89" s="7">
        <f t="shared" si="41"/>
        <v>-5.1493064284742461E-6</v>
      </c>
      <c r="W89" s="3"/>
      <c r="X89" s="8">
        <f t="shared" si="42"/>
        <v>1.5</v>
      </c>
      <c r="Y89" s="3"/>
      <c r="Z89" s="7">
        <f t="shared" si="43"/>
        <v>-1.6666666666666665</v>
      </c>
    </row>
    <row r="90" spans="1:26" s="29" customFormat="1" outlineLevel="1" collapsed="1" x14ac:dyDescent="0.3">
      <c r="A90" s="28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SUM(OSRRefD22_4x_0)</f>
        <v>492.32</v>
      </c>
      <c r="E90" s="1"/>
      <c r="F90" s="5">
        <f t="shared" si="36"/>
        <v>3.1589024430933015E-3</v>
      </c>
      <c r="G90" s="1"/>
      <c r="H90" s="1">
        <f>SUM(OSRRefH22_4x_0)</f>
        <v>306.89</v>
      </c>
      <c r="I90" s="1"/>
      <c r="J90" s="5">
        <f t="shared" si="37"/>
        <v>1.755856277593846E-3</v>
      </c>
      <c r="K90" s="1"/>
      <c r="L90" s="1">
        <f t="shared" si="38"/>
        <v>185.43</v>
      </c>
      <c r="M90" s="1"/>
      <c r="N90" s="5">
        <f t="shared" si="39"/>
        <v>0.6042230115024928</v>
      </c>
      <c r="O90" s="14"/>
      <c r="P90" s="1">
        <f>SUM(OSRRefP22_4x_0)</f>
        <v>492.32</v>
      </c>
      <c r="Q90" s="1"/>
      <c r="R90" s="5">
        <f t="shared" si="40"/>
        <v>3.1589024430933015E-3</v>
      </c>
      <c r="S90" s="1"/>
      <c r="T90" s="1">
        <f>SUM(OSRRefT22_4x_0)</f>
        <v>306.89</v>
      </c>
      <c r="U90" s="1"/>
      <c r="V90" s="5">
        <f t="shared" si="41"/>
        <v>1.755856277593846E-3</v>
      </c>
      <c r="W90" s="1"/>
      <c r="X90" s="1">
        <f t="shared" si="42"/>
        <v>185.43</v>
      </c>
      <c r="Y90" s="1"/>
      <c r="Z90" s="5">
        <f t="shared" si="43"/>
        <v>0.6042230115024928</v>
      </c>
    </row>
    <row r="91" spans="1:26" s="24" customFormat="1" hidden="1" outlineLevel="2" x14ac:dyDescent="0.3">
      <c r="A91" s="27"/>
      <c r="B91" s="12" t="str">
        <f>CONCATENATE("          ", "6381", " - ", "BANK/CREDIT CARD FEES")</f>
        <v xml:space="preserve">          6381 - BANK/CREDIT CARD FEES</v>
      </c>
      <c r="C91" s="12"/>
      <c r="D91" s="8">
        <v>492.32</v>
      </c>
      <c r="E91" s="3"/>
      <c r="F91" s="7">
        <f t="shared" si="36"/>
        <v>3.1589024430933015E-3</v>
      </c>
      <c r="G91" s="3"/>
      <c r="H91" s="8">
        <v>306.89</v>
      </c>
      <c r="I91" s="3"/>
      <c r="J91" s="7">
        <f t="shared" si="37"/>
        <v>1.755856277593846E-3</v>
      </c>
      <c r="K91" s="3"/>
      <c r="L91" s="8">
        <f t="shared" si="38"/>
        <v>185.43</v>
      </c>
      <c r="M91" s="3"/>
      <c r="N91" s="7">
        <f t="shared" si="39"/>
        <v>0.6042230115024928</v>
      </c>
      <c r="O91" s="12"/>
      <c r="P91" s="8">
        <v>492.32</v>
      </c>
      <c r="Q91" s="3"/>
      <c r="R91" s="7">
        <f t="shared" si="40"/>
        <v>3.1589024430933015E-3</v>
      </c>
      <c r="S91" s="3"/>
      <c r="T91" s="8">
        <v>306.89</v>
      </c>
      <c r="U91" s="3"/>
      <c r="V91" s="7">
        <f t="shared" si="41"/>
        <v>1.755856277593846E-3</v>
      </c>
      <c r="W91" s="3"/>
      <c r="X91" s="8">
        <f t="shared" si="42"/>
        <v>185.43</v>
      </c>
      <c r="Y91" s="3"/>
      <c r="Z91" s="7">
        <f t="shared" si="43"/>
        <v>0.6042230115024928</v>
      </c>
    </row>
    <row r="92" spans="1:26" s="29" customFormat="1" outlineLevel="1" collapsed="1" x14ac:dyDescent="0.3">
      <c r="A92" s="28"/>
      <c r="B92" s="14" t="str">
        <f>CONCATENATE("     ","Discounts and Markdowns                           ")</f>
        <v xml:space="preserve">     Discounts and Markdowns                           </v>
      </c>
      <c r="C92" s="14"/>
      <c r="D92" s="1">
        <f>SUM(OSRRefD22_5x_0)</f>
        <v>0</v>
      </c>
      <c r="E92" s="1"/>
      <c r="F92" s="5">
        <f t="shared" si="36"/>
        <v>0</v>
      </c>
      <c r="G92" s="1"/>
      <c r="H92" s="1">
        <f>SUM(OSRRefH22_5x_0)</f>
        <v>0</v>
      </c>
      <c r="I92" s="1"/>
      <c r="J92" s="5">
        <f t="shared" si="37"/>
        <v>0</v>
      </c>
      <c r="K92" s="1"/>
      <c r="L92" s="1">
        <f t="shared" si="38"/>
        <v>0</v>
      </c>
      <c r="M92" s="1"/>
      <c r="N92" s="5">
        <f t="shared" si="39"/>
        <v>0</v>
      </c>
      <c r="O92" s="14"/>
      <c r="P92" s="1">
        <f>SUM(OSRRefP22_5x_0)</f>
        <v>0</v>
      </c>
      <c r="Q92" s="1"/>
      <c r="R92" s="5">
        <f t="shared" si="40"/>
        <v>0</v>
      </c>
      <c r="S92" s="1"/>
      <c r="T92" s="1">
        <f>SUM(OSRRefT22_5x_0)</f>
        <v>0</v>
      </c>
      <c r="U92" s="1"/>
      <c r="V92" s="5">
        <f t="shared" si="41"/>
        <v>0</v>
      </c>
      <c r="W92" s="1"/>
      <c r="X92" s="1">
        <f t="shared" si="42"/>
        <v>0</v>
      </c>
      <c r="Y92" s="1"/>
      <c r="Z92" s="5">
        <f t="shared" si="43"/>
        <v>0</v>
      </c>
    </row>
    <row r="93" spans="1:26" s="24" customFormat="1" hidden="1" outlineLevel="2" x14ac:dyDescent="0.3">
      <c r="A93" s="27"/>
      <c r="B93" s="12" t="str">
        <f>CONCATENATE("          ", "6382", " - ", "DISCOUNTS/MARK DOWNS")</f>
        <v xml:space="preserve">          6382 - DISCOUNTS/MARK DOWNS</v>
      </c>
      <c r="C93" s="12"/>
      <c r="D93" s="8"/>
      <c r="E93" s="3"/>
      <c r="F93" s="7">
        <f t="shared" si="36"/>
        <v>0</v>
      </c>
      <c r="G93" s="3"/>
      <c r="H93" s="8">
        <v>0</v>
      </c>
      <c r="I93" s="3"/>
      <c r="J93" s="7">
        <f t="shared" si="37"/>
        <v>0</v>
      </c>
      <c r="K93" s="3"/>
      <c r="L93" s="8">
        <f t="shared" si="38"/>
        <v>0</v>
      </c>
      <c r="M93" s="3"/>
      <c r="N93" s="7">
        <f t="shared" si="39"/>
        <v>0</v>
      </c>
      <c r="O93" s="12"/>
      <c r="P93" s="8"/>
      <c r="Q93" s="3"/>
      <c r="R93" s="7">
        <f t="shared" si="40"/>
        <v>0</v>
      </c>
      <c r="S93" s="3"/>
      <c r="T93" s="8">
        <v>0</v>
      </c>
      <c r="U93" s="3"/>
      <c r="V93" s="7">
        <f t="shared" si="41"/>
        <v>0</v>
      </c>
      <c r="W93" s="3"/>
      <c r="X93" s="8">
        <f t="shared" si="42"/>
        <v>0</v>
      </c>
      <c r="Y93" s="3"/>
      <c r="Z93" s="7">
        <f t="shared" si="43"/>
        <v>0</v>
      </c>
    </row>
    <row r="94" spans="1:26" s="29" customFormat="1" outlineLevel="1" collapsed="1" x14ac:dyDescent="0.3">
      <c r="A94" s="28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SUM(OSRRefD22_6x_0)</f>
        <v>216.44</v>
      </c>
      <c r="E94" s="1"/>
      <c r="F94" s="5">
        <f t="shared" si="36"/>
        <v>1.3887569970407747E-3</v>
      </c>
      <c r="G94" s="1"/>
      <c r="H94" s="1">
        <f>SUM(OSRRefH22_6x_0)</f>
        <v>0</v>
      </c>
      <c r="I94" s="1"/>
      <c r="J94" s="5">
        <f t="shared" si="37"/>
        <v>0</v>
      </c>
      <c r="K94" s="1"/>
      <c r="L94" s="1">
        <f t="shared" si="38"/>
        <v>216.44</v>
      </c>
      <c r="M94" s="1"/>
      <c r="N94" s="5">
        <f t="shared" si="39"/>
        <v>0</v>
      </c>
      <c r="O94" s="14"/>
      <c r="P94" s="1">
        <f>SUM(OSRRefP22_6x_0)</f>
        <v>216.44</v>
      </c>
      <c r="Q94" s="1"/>
      <c r="R94" s="5">
        <f t="shared" si="40"/>
        <v>1.3887569970407747E-3</v>
      </c>
      <c r="S94" s="1"/>
      <c r="T94" s="1">
        <f>SUM(OSRRefT22_6x_0)</f>
        <v>0</v>
      </c>
      <c r="U94" s="1"/>
      <c r="V94" s="5">
        <f t="shared" si="41"/>
        <v>0</v>
      </c>
      <c r="W94" s="1"/>
      <c r="X94" s="1">
        <f t="shared" si="42"/>
        <v>216.44</v>
      </c>
      <c r="Y94" s="1"/>
      <c r="Z94" s="5">
        <f t="shared" si="43"/>
        <v>0</v>
      </c>
    </row>
    <row r="95" spans="1:26" s="24" customFormat="1" hidden="1" outlineLevel="2" x14ac:dyDescent="0.3">
      <c r="A95" s="27"/>
      <c r="B95" s="12" t="str">
        <f>CONCATENATE("          ", "6277", " - ", "EMPLOYEE APPRECIATION")</f>
        <v xml:space="preserve">          6277 - EMPLOYEE APPRECIATION</v>
      </c>
      <c r="C95" s="12"/>
      <c r="D95" s="8">
        <v>216.44</v>
      </c>
      <c r="E95" s="3"/>
      <c r="F95" s="7">
        <f t="shared" si="36"/>
        <v>1.3887569970407747E-3</v>
      </c>
      <c r="G95" s="3"/>
      <c r="H95" s="8"/>
      <c r="I95" s="3"/>
      <c r="J95" s="7">
        <f t="shared" si="37"/>
        <v>0</v>
      </c>
      <c r="K95" s="3"/>
      <c r="L95" s="8">
        <f t="shared" si="38"/>
        <v>216.44</v>
      </c>
      <c r="M95" s="3"/>
      <c r="N95" s="7">
        <f t="shared" si="39"/>
        <v>0</v>
      </c>
      <c r="O95" s="12"/>
      <c r="P95" s="8">
        <v>216.44</v>
      </c>
      <c r="Q95" s="3"/>
      <c r="R95" s="7">
        <f t="shared" si="40"/>
        <v>1.3887569970407747E-3</v>
      </c>
      <c r="S95" s="3"/>
      <c r="T95" s="8"/>
      <c r="U95" s="3"/>
      <c r="V95" s="7">
        <f t="shared" si="41"/>
        <v>0</v>
      </c>
      <c r="W95" s="3"/>
      <c r="X95" s="8">
        <f t="shared" si="42"/>
        <v>216.44</v>
      </c>
      <c r="Y95" s="3"/>
      <c r="Z95" s="7">
        <f t="shared" si="43"/>
        <v>0</v>
      </c>
    </row>
    <row r="96" spans="1:26" s="29" customFormat="1" outlineLevel="1" collapsed="1" x14ac:dyDescent="0.3">
      <c r="A96" s="28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SUM(OSRRefD22_7x_0)</f>
        <v>857.13</v>
      </c>
      <c r="E96" s="1"/>
      <c r="F96" s="5">
        <f t="shared" si="36"/>
        <v>5.4996547998223946E-3</v>
      </c>
      <c r="G96" s="1"/>
      <c r="H96" s="1">
        <f>SUM(OSRRefH22_7x_0)</f>
        <v>16.39</v>
      </c>
      <c r="I96" s="1"/>
      <c r="J96" s="5">
        <f t="shared" si="37"/>
        <v>9.3774591514103216E-5</v>
      </c>
      <c r="K96" s="1"/>
      <c r="L96" s="1">
        <f t="shared" si="38"/>
        <v>840.74</v>
      </c>
      <c r="M96" s="1"/>
      <c r="N96" s="5">
        <f t="shared" si="39"/>
        <v>51.295912141549721</v>
      </c>
      <c r="O96" s="14"/>
      <c r="P96" s="1">
        <f>SUM(OSRRefP22_7x_0)</f>
        <v>857.13</v>
      </c>
      <c r="Q96" s="1"/>
      <c r="R96" s="5">
        <f t="shared" si="40"/>
        <v>5.4996547998223946E-3</v>
      </c>
      <c r="S96" s="1"/>
      <c r="T96" s="1">
        <f>SUM(OSRRefT22_7x_0)</f>
        <v>16.39</v>
      </c>
      <c r="U96" s="1"/>
      <c r="V96" s="5">
        <f t="shared" si="41"/>
        <v>9.3774591514103216E-5</v>
      </c>
      <c r="W96" s="1"/>
      <c r="X96" s="1">
        <f t="shared" si="42"/>
        <v>840.74</v>
      </c>
      <c r="Y96" s="1"/>
      <c r="Z96" s="5">
        <f t="shared" si="43"/>
        <v>51.295912141549721</v>
      </c>
    </row>
    <row r="97" spans="1:26" s="24" customFormat="1" hidden="1" outlineLevel="2" x14ac:dyDescent="0.3">
      <c r="A97" s="27"/>
      <c r="B97" s="12" t="str">
        <f>CONCATENATE("          ", "6305", " - ", "FREIGHT OUT")</f>
        <v xml:space="preserve">          6305 - FREIGHT OUT</v>
      </c>
      <c r="C97" s="12"/>
      <c r="D97" s="8">
        <v>845.71</v>
      </c>
      <c r="E97" s="3"/>
      <c r="F97" s="7">
        <f t="shared" si="36"/>
        <v>5.4263799665835964E-3</v>
      </c>
      <c r="G97" s="3"/>
      <c r="H97" s="8">
        <v>16.39</v>
      </c>
      <c r="I97" s="3"/>
      <c r="J97" s="7">
        <f t="shared" si="37"/>
        <v>9.3774591514103216E-5</v>
      </c>
      <c r="K97" s="3"/>
      <c r="L97" s="8">
        <f t="shared" si="38"/>
        <v>829.32</v>
      </c>
      <c r="M97" s="3"/>
      <c r="N97" s="7">
        <f t="shared" si="39"/>
        <v>50.599145820622333</v>
      </c>
      <c r="O97" s="12"/>
      <c r="P97" s="8">
        <v>845.71</v>
      </c>
      <c r="Q97" s="3"/>
      <c r="R97" s="7">
        <f t="shared" si="40"/>
        <v>5.4263799665835964E-3</v>
      </c>
      <c r="S97" s="3"/>
      <c r="T97" s="8">
        <v>16.39</v>
      </c>
      <c r="U97" s="3"/>
      <c r="V97" s="7">
        <f t="shared" si="41"/>
        <v>9.3774591514103216E-5</v>
      </c>
      <c r="W97" s="3"/>
      <c r="X97" s="8">
        <f t="shared" si="42"/>
        <v>829.32</v>
      </c>
      <c r="Y97" s="3"/>
      <c r="Z97" s="7">
        <f t="shared" si="43"/>
        <v>50.599145820622333</v>
      </c>
    </row>
    <row r="98" spans="1:26" s="24" customFormat="1" hidden="1" outlineLevel="2" x14ac:dyDescent="0.3">
      <c r="A98" s="27"/>
      <c r="B98" s="12" t="str">
        <f>CONCATENATE("          ", "6307", " - ", "POSTAGE")</f>
        <v xml:space="preserve">          6307 - POSTAGE</v>
      </c>
      <c r="C98" s="12"/>
      <c r="D98" s="8">
        <v>11.42</v>
      </c>
      <c r="E98" s="3"/>
      <c r="F98" s="7">
        <f t="shared" si="36"/>
        <v>7.3274833238798953E-5</v>
      </c>
      <c r="G98" s="3"/>
      <c r="H98" s="8"/>
      <c r="I98" s="3"/>
      <c r="J98" s="7">
        <f t="shared" si="37"/>
        <v>0</v>
      </c>
      <c r="K98" s="3"/>
      <c r="L98" s="8">
        <f t="shared" si="38"/>
        <v>11.42</v>
      </c>
      <c r="M98" s="3"/>
      <c r="N98" s="7">
        <f t="shared" si="39"/>
        <v>0</v>
      </c>
      <c r="O98" s="12"/>
      <c r="P98" s="8">
        <v>11.42</v>
      </c>
      <c r="Q98" s="3"/>
      <c r="R98" s="7">
        <f t="shared" si="40"/>
        <v>7.3274833238798953E-5</v>
      </c>
      <c r="S98" s="3"/>
      <c r="T98" s="8"/>
      <c r="U98" s="3"/>
      <c r="V98" s="7">
        <f t="shared" si="41"/>
        <v>0</v>
      </c>
      <c r="W98" s="3"/>
      <c r="X98" s="8">
        <f t="shared" si="42"/>
        <v>11.42</v>
      </c>
      <c r="Y98" s="3"/>
      <c r="Z98" s="7">
        <f t="shared" si="43"/>
        <v>0</v>
      </c>
    </row>
    <row r="99" spans="1:26" s="29" customFormat="1" outlineLevel="1" collapsed="1" x14ac:dyDescent="0.3">
      <c r="A99" s="28"/>
      <c r="B99" s="14" t="str">
        <f>CONCATENATE("     ","Insurance                                         ")</f>
        <v xml:space="preserve">     Insurance                                         </v>
      </c>
      <c r="C99" s="14"/>
      <c r="D99" s="1">
        <f>SUM(OSRRefD22_8x_0)</f>
        <v>219.08</v>
      </c>
      <c r="E99" s="1"/>
      <c r="F99" s="5">
        <f t="shared" ref="F99:F103" si="44">IF(D$12=0,0,D99/D$12)</f>
        <v>1.4056961879120907E-3</v>
      </c>
      <c r="G99" s="1"/>
      <c r="H99" s="1">
        <f>SUM(OSRRefH22_8x_0)</f>
        <v>161.18</v>
      </c>
      <c r="I99" s="1"/>
      <c r="J99" s="5">
        <f t="shared" ref="J99:J103" si="45">IF(H$12=0,0,H99/H$12)</f>
        <v>9.2218356682386565E-4</v>
      </c>
      <c r="K99" s="1"/>
      <c r="L99" s="1">
        <f t="shared" ref="L99:L103" si="46">+D99-H99</f>
        <v>57.900000000000006</v>
      </c>
      <c r="M99" s="1"/>
      <c r="N99" s="5">
        <f t="shared" ref="N99:N103" si="47">IF(H99=0,0,L99/H99)</f>
        <v>0.35922571038590395</v>
      </c>
      <c r="O99" s="14"/>
      <c r="P99" s="1">
        <f>SUM(OSRRefP22_8x_0)</f>
        <v>219.08</v>
      </c>
      <c r="Q99" s="1"/>
      <c r="R99" s="5">
        <f t="shared" ref="R99:R103" si="48">IF(P$12=0,0,P99/P$12)</f>
        <v>1.4056961879120907E-3</v>
      </c>
      <c r="S99" s="1"/>
      <c r="T99" s="1">
        <f>SUM(OSRRefT22_8x_0)</f>
        <v>161.18</v>
      </c>
      <c r="U99" s="1"/>
      <c r="V99" s="5">
        <f t="shared" ref="V99:V103" si="49">IF(T$12=0,0,T99/T$12)</f>
        <v>9.2218356682386565E-4</v>
      </c>
      <c r="W99" s="1"/>
      <c r="X99" s="1">
        <f t="shared" ref="X99:X103" si="50">+P99-T99</f>
        <v>57.900000000000006</v>
      </c>
      <c r="Y99" s="1"/>
      <c r="Z99" s="5">
        <f t="shared" ref="Z99:Z103" si="51">IF(T99=0,0,X99/T99)</f>
        <v>0.35922571038590395</v>
      </c>
    </row>
    <row r="100" spans="1:26" s="24" customFormat="1" hidden="1" outlineLevel="2" x14ac:dyDescent="0.3">
      <c r="A100" s="27"/>
      <c r="B100" s="12" t="str">
        <f>CONCATENATE("          ", "6314", " - ", "LIABILITY INSURANCE")</f>
        <v xml:space="preserve">          6314 - LIABILITY INSURANCE</v>
      </c>
      <c r="C100" s="12"/>
      <c r="D100" s="8">
        <v>219.08</v>
      </c>
      <c r="E100" s="3"/>
      <c r="F100" s="7">
        <f t="shared" si="44"/>
        <v>1.4056961879120907E-3</v>
      </c>
      <c r="G100" s="3"/>
      <c r="H100" s="8">
        <v>161.18</v>
      </c>
      <c r="I100" s="3"/>
      <c r="J100" s="7">
        <f t="shared" si="45"/>
        <v>9.2218356682386565E-4</v>
      </c>
      <c r="K100" s="3"/>
      <c r="L100" s="8">
        <f t="shared" si="46"/>
        <v>57.900000000000006</v>
      </c>
      <c r="M100" s="3"/>
      <c r="N100" s="7">
        <f t="shared" si="47"/>
        <v>0.35922571038590395</v>
      </c>
      <c r="O100" s="12"/>
      <c r="P100" s="8">
        <v>219.08</v>
      </c>
      <c r="Q100" s="3"/>
      <c r="R100" s="7">
        <f t="shared" si="48"/>
        <v>1.4056961879120907E-3</v>
      </c>
      <c r="S100" s="3"/>
      <c r="T100" s="8">
        <v>161.18</v>
      </c>
      <c r="U100" s="3"/>
      <c r="V100" s="7">
        <f t="shared" si="49"/>
        <v>9.2218356682386565E-4</v>
      </c>
      <c r="W100" s="3"/>
      <c r="X100" s="8">
        <f t="shared" si="50"/>
        <v>57.900000000000006</v>
      </c>
      <c r="Y100" s="3"/>
      <c r="Z100" s="7">
        <f t="shared" si="51"/>
        <v>0.35922571038590395</v>
      </c>
    </row>
    <row r="101" spans="1:26" s="29" customFormat="1" outlineLevel="1" collapsed="1" x14ac:dyDescent="0.3">
      <c r="A101" s="28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SUM(OSRRefD22_9x_0)</f>
        <v>3450</v>
      </c>
      <c r="E101" s="1"/>
      <c r="F101" s="5">
        <f t="shared" si="44"/>
        <v>2.213644261592438E-2</v>
      </c>
      <c r="G101" s="1"/>
      <c r="H101" s="1">
        <f>SUM(OSRRefH22_9x_0)</f>
        <v>1100</v>
      </c>
      <c r="I101" s="1"/>
      <c r="J101" s="5">
        <f t="shared" si="45"/>
        <v>6.2935967459129679E-3</v>
      </c>
      <c r="K101" s="1"/>
      <c r="L101" s="1">
        <f t="shared" si="46"/>
        <v>2350</v>
      </c>
      <c r="M101" s="1"/>
      <c r="N101" s="5">
        <f t="shared" si="47"/>
        <v>2.1363636363636362</v>
      </c>
      <c r="O101" s="14"/>
      <c r="P101" s="1">
        <f>SUM(OSRRefP22_9x_0)</f>
        <v>3450</v>
      </c>
      <c r="Q101" s="1"/>
      <c r="R101" s="5">
        <f t="shared" si="48"/>
        <v>2.213644261592438E-2</v>
      </c>
      <c r="S101" s="1"/>
      <c r="T101" s="1">
        <f>SUM(OSRRefT22_9x_0)</f>
        <v>1100</v>
      </c>
      <c r="U101" s="1"/>
      <c r="V101" s="5">
        <f t="shared" si="49"/>
        <v>6.2935967459129679E-3</v>
      </c>
      <c r="W101" s="1"/>
      <c r="X101" s="1">
        <f t="shared" si="50"/>
        <v>2350</v>
      </c>
      <c r="Y101" s="1"/>
      <c r="Z101" s="5">
        <f t="shared" si="51"/>
        <v>2.1363636363636362</v>
      </c>
    </row>
    <row r="102" spans="1:26" s="24" customFormat="1" hidden="1" outlineLevel="2" x14ac:dyDescent="0.3">
      <c r="A102" s="27"/>
      <c r="B102" s="12" t="str">
        <f>CONCATENATE("          ", "6408", " - ", "INVENTORY ADJUSTMENT")</f>
        <v xml:space="preserve">          6408 - INVENTORY ADJUSTMENT</v>
      </c>
      <c r="C102" s="12"/>
      <c r="D102" s="8">
        <v>3450</v>
      </c>
      <c r="E102" s="3"/>
      <c r="F102" s="7">
        <f t="shared" si="44"/>
        <v>2.213644261592438E-2</v>
      </c>
      <c r="G102" s="3"/>
      <c r="H102" s="8">
        <v>1100</v>
      </c>
      <c r="I102" s="3"/>
      <c r="J102" s="7">
        <f t="shared" si="45"/>
        <v>6.2935967459129679E-3</v>
      </c>
      <c r="K102" s="3"/>
      <c r="L102" s="8">
        <f t="shared" si="46"/>
        <v>2350</v>
      </c>
      <c r="M102" s="3"/>
      <c r="N102" s="7">
        <f t="shared" si="47"/>
        <v>2.1363636363636362</v>
      </c>
      <c r="O102" s="12"/>
      <c r="P102" s="8">
        <v>3450</v>
      </c>
      <c r="Q102" s="3"/>
      <c r="R102" s="7">
        <f t="shared" si="48"/>
        <v>2.213644261592438E-2</v>
      </c>
      <c r="S102" s="3"/>
      <c r="T102" s="8">
        <v>1100</v>
      </c>
      <c r="U102" s="3"/>
      <c r="V102" s="7">
        <f t="shared" si="49"/>
        <v>6.2935967459129679E-3</v>
      </c>
      <c r="W102" s="3"/>
      <c r="X102" s="8">
        <f t="shared" si="50"/>
        <v>2350</v>
      </c>
      <c r="Y102" s="3"/>
      <c r="Z102" s="7">
        <f t="shared" si="51"/>
        <v>2.1363636363636362</v>
      </c>
    </row>
    <row r="103" spans="1:26" s="24" customFormat="1" hidden="1" outlineLevel="2" x14ac:dyDescent="0.3">
      <c r="A103" s="27"/>
      <c r="B103" s="12" t="str">
        <f>CONCATENATE("          ", "7741", " - ", "INV. SHRINKAGE-LOGO GIFTS")</f>
        <v xml:space="preserve">          7741 - INV. SHRINKAGE-LOGO GIFTS</v>
      </c>
      <c r="C103" s="12"/>
      <c r="D103" s="8"/>
      <c r="E103" s="3"/>
      <c r="F103" s="7">
        <f t="shared" si="44"/>
        <v>0</v>
      </c>
      <c r="G103" s="3"/>
      <c r="H103" s="8">
        <v>0</v>
      </c>
      <c r="I103" s="3"/>
      <c r="J103" s="7">
        <f t="shared" si="45"/>
        <v>0</v>
      </c>
      <c r="K103" s="3"/>
      <c r="L103" s="8">
        <f t="shared" si="46"/>
        <v>0</v>
      </c>
      <c r="M103" s="3"/>
      <c r="N103" s="7">
        <f t="shared" si="47"/>
        <v>0</v>
      </c>
      <c r="O103" s="12"/>
      <c r="P103" s="8"/>
      <c r="Q103" s="3"/>
      <c r="R103" s="7">
        <f t="shared" si="48"/>
        <v>0</v>
      </c>
      <c r="S103" s="3"/>
      <c r="T103" s="8">
        <v>0</v>
      </c>
      <c r="U103" s="3"/>
      <c r="V103" s="7">
        <f t="shared" si="49"/>
        <v>0</v>
      </c>
      <c r="W103" s="3"/>
      <c r="X103" s="8">
        <f t="shared" si="50"/>
        <v>0</v>
      </c>
      <c r="Y103" s="3"/>
      <c r="Z103" s="7">
        <f t="shared" si="51"/>
        <v>0</v>
      </c>
    </row>
    <row r="104" spans="1:26" s="29" customFormat="1" outlineLevel="1" collapsed="1" x14ac:dyDescent="0.3">
      <c r="A104" s="28"/>
      <c r="B104" s="14" t="str">
        <f>CONCATENATE("     ","Rent                                              ")</f>
        <v xml:space="preserve">     Rent                                              </v>
      </c>
      <c r="C104" s="14"/>
      <c r="D104" s="1">
        <f>SUM(OSRRefD22_10x_0)</f>
        <v>6900</v>
      </c>
      <c r="E104" s="1"/>
      <c r="F104" s="5">
        <f t="shared" ref="F104:F108" si="52">IF(D$12=0,0,D104/D$12)</f>
        <v>4.427288523184876E-2</v>
      </c>
      <c r="G104" s="1"/>
      <c r="H104" s="1">
        <f>SUM(OSRRefH22_10x_0)</f>
        <v>6900</v>
      </c>
      <c r="I104" s="1"/>
      <c r="J104" s="5">
        <f t="shared" ref="J104:J108" si="53">IF(H$12=0,0,H104/H$12)</f>
        <v>3.9478015951635886E-2</v>
      </c>
      <c r="K104" s="1"/>
      <c r="L104" s="1">
        <f t="shared" ref="L104:L108" si="54">+D104-H104</f>
        <v>0</v>
      </c>
      <c r="M104" s="1"/>
      <c r="N104" s="5">
        <f t="shared" ref="N104:N108" si="55">IF(H104=0,0,L104/H104)</f>
        <v>0</v>
      </c>
      <c r="O104" s="14"/>
      <c r="P104" s="1">
        <f>SUM(OSRRefP22_10x_0)</f>
        <v>6900</v>
      </c>
      <c r="Q104" s="1"/>
      <c r="R104" s="5">
        <f t="shared" ref="R104:R108" si="56">IF(P$12=0,0,P104/P$12)</f>
        <v>4.427288523184876E-2</v>
      </c>
      <c r="S104" s="1"/>
      <c r="T104" s="1">
        <f>SUM(OSRRefT22_10x_0)</f>
        <v>6900</v>
      </c>
      <c r="U104" s="1"/>
      <c r="V104" s="5">
        <f t="shared" ref="V104:V108" si="57">IF(T$12=0,0,T104/T$12)</f>
        <v>3.9478015951635886E-2</v>
      </c>
      <c r="W104" s="1"/>
      <c r="X104" s="1">
        <f t="shared" ref="X104:X108" si="58">+P104-T104</f>
        <v>0</v>
      </c>
      <c r="Y104" s="1"/>
      <c r="Z104" s="5">
        <f t="shared" ref="Z104:Z108" si="59">IF(T104=0,0,X104/T104)</f>
        <v>0</v>
      </c>
    </row>
    <row r="105" spans="1:26" s="24" customFormat="1" hidden="1" outlineLevel="2" x14ac:dyDescent="0.3">
      <c r="A105" s="27"/>
      <c r="B105" s="12" t="str">
        <f>CONCATENATE("          ", "6273", " - ", "RENT")</f>
        <v xml:space="preserve">          6273 - RENT</v>
      </c>
      <c r="C105" s="12"/>
      <c r="D105" s="8">
        <v>6900</v>
      </c>
      <c r="E105" s="3"/>
      <c r="F105" s="7">
        <f t="shared" si="52"/>
        <v>4.427288523184876E-2</v>
      </c>
      <c r="G105" s="3"/>
      <c r="H105" s="8">
        <v>6900</v>
      </c>
      <c r="I105" s="3"/>
      <c r="J105" s="7">
        <f t="shared" si="53"/>
        <v>3.9478015951635886E-2</v>
      </c>
      <c r="K105" s="3"/>
      <c r="L105" s="8">
        <f t="shared" si="54"/>
        <v>0</v>
      </c>
      <c r="M105" s="3"/>
      <c r="N105" s="7">
        <f t="shared" si="55"/>
        <v>0</v>
      </c>
      <c r="O105" s="12"/>
      <c r="P105" s="8">
        <v>6900</v>
      </c>
      <c r="Q105" s="3"/>
      <c r="R105" s="7">
        <f t="shared" si="56"/>
        <v>4.427288523184876E-2</v>
      </c>
      <c r="S105" s="3"/>
      <c r="T105" s="8">
        <v>6900</v>
      </c>
      <c r="U105" s="3"/>
      <c r="V105" s="7">
        <f t="shared" si="57"/>
        <v>3.9478015951635886E-2</v>
      </c>
      <c r="W105" s="3"/>
      <c r="X105" s="8">
        <f t="shared" si="58"/>
        <v>0</v>
      </c>
      <c r="Y105" s="3"/>
      <c r="Z105" s="7">
        <f t="shared" si="59"/>
        <v>0</v>
      </c>
    </row>
    <row r="106" spans="1:26" s="29" customFormat="1" outlineLevel="1" collapsed="1" x14ac:dyDescent="0.3">
      <c r="A106" s="28"/>
      <c r="B106" s="14" t="str">
        <f>CONCATENATE("     ","Royalty &amp; Commissions                             ")</f>
        <v xml:space="preserve">     Royalty &amp; Commissions                             </v>
      </c>
      <c r="C106" s="14"/>
      <c r="D106" s="1">
        <f>SUM(OSRRefD22_11x_0)</f>
        <v>7349.0400000000009</v>
      </c>
      <c r="E106" s="1"/>
      <c r="F106" s="5">
        <f t="shared" si="52"/>
        <v>4.7154087606415339E-2</v>
      </c>
      <c r="G106" s="1"/>
      <c r="H106" s="1">
        <f>SUM(OSRRefH22_11x_0)</f>
        <v>5672.2</v>
      </c>
      <c r="I106" s="1"/>
      <c r="J106" s="5">
        <f t="shared" si="53"/>
        <v>3.245321769287958E-2</v>
      </c>
      <c r="K106" s="1"/>
      <c r="L106" s="1">
        <f t="shared" si="54"/>
        <v>1676.8400000000011</v>
      </c>
      <c r="M106" s="1"/>
      <c r="N106" s="5">
        <f t="shared" si="55"/>
        <v>0.29562427276894349</v>
      </c>
      <c r="O106" s="14"/>
      <c r="P106" s="1">
        <f>SUM(OSRRefP22_11x_0)</f>
        <v>7349.0400000000009</v>
      </c>
      <c r="Q106" s="1"/>
      <c r="R106" s="5">
        <f t="shared" si="56"/>
        <v>4.7154087606415339E-2</v>
      </c>
      <c r="S106" s="1"/>
      <c r="T106" s="1">
        <f>SUM(OSRRefT22_11x_0)</f>
        <v>5672.2</v>
      </c>
      <c r="U106" s="1"/>
      <c r="V106" s="5">
        <f t="shared" si="57"/>
        <v>3.245321769287958E-2</v>
      </c>
      <c r="W106" s="1"/>
      <c r="X106" s="1">
        <f t="shared" si="58"/>
        <v>1676.8400000000011</v>
      </c>
      <c r="Y106" s="1"/>
      <c r="Z106" s="5">
        <f t="shared" si="59"/>
        <v>0.29562427276894349</v>
      </c>
    </row>
    <row r="107" spans="1:26" s="24" customFormat="1" hidden="1" outlineLevel="2" x14ac:dyDescent="0.3">
      <c r="A107" s="27"/>
      <c r="B107" s="12" t="str">
        <f>CONCATENATE("          ", "6253", " - ", "ROYALTY DUE ATHLETICS-LRG")</f>
        <v xml:space="preserve">          6253 - ROYALTY DUE ATHLETICS-LRG</v>
      </c>
      <c r="C107" s="12"/>
      <c r="D107" s="8">
        <v>14376.54</v>
      </c>
      <c r="E107" s="3"/>
      <c r="F107" s="7">
        <f t="shared" si="52"/>
        <v>9.224505876102651E-2</v>
      </c>
      <c r="G107" s="3"/>
      <c r="H107" s="8">
        <v>5672.2</v>
      </c>
      <c r="I107" s="3"/>
      <c r="J107" s="7">
        <f t="shared" si="53"/>
        <v>3.245321769287958E-2</v>
      </c>
      <c r="K107" s="3"/>
      <c r="L107" s="8">
        <f t="shared" si="54"/>
        <v>8704.34</v>
      </c>
      <c r="M107" s="3"/>
      <c r="N107" s="7">
        <f t="shared" si="55"/>
        <v>1.5345615457847044</v>
      </c>
      <c r="O107" s="12"/>
      <c r="P107" s="8">
        <v>14376.54</v>
      </c>
      <c r="Q107" s="3"/>
      <c r="R107" s="7">
        <f t="shared" si="56"/>
        <v>9.224505876102651E-2</v>
      </c>
      <c r="S107" s="3"/>
      <c r="T107" s="8">
        <v>5672.2</v>
      </c>
      <c r="U107" s="3"/>
      <c r="V107" s="7">
        <f t="shared" si="57"/>
        <v>3.245321769287958E-2</v>
      </c>
      <c r="W107" s="3"/>
      <c r="X107" s="8">
        <f t="shared" si="58"/>
        <v>8704.34</v>
      </c>
      <c r="Y107" s="3"/>
      <c r="Z107" s="7">
        <f t="shared" si="59"/>
        <v>1.5345615457847044</v>
      </c>
    </row>
    <row r="108" spans="1:26" s="24" customFormat="1" hidden="1" outlineLevel="2" x14ac:dyDescent="0.3">
      <c r="A108" s="27"/>
      <c r="B108" s="12" t="str">
        <f>CONCATENATE("          ", "6254", " - ", "ROYALTY &amp; COMMISSIONS")</f>
        <v xml:space="preserve">          6254 - ROYALTY &amp; COMMISSIONS</v>
      </c>
      <c r="C108" s="12"/>
      <c r="D108" s="8">
        <v>-7027.5</v>
      </c>
      <c r="E108" s="3"/>
      <c r="F108" s="7">
        <f t="shared" si="52"/>
        <v>-4.5090971154611179E-2</v>
      </c>
      <c r="G108" s="3"/>
      <c r="H108" s="8"/>
      <c r="I108" s="3"/>
      <c r="J108" s="7">
        <f t="shared" si="53"/>
        <v>0</v>
      </c>
      <c r="K108" s="3"/>
      <c r="L108" s="8">
        <f t="shared" si="54"/>
        <v>-7027.5</v>
      </c>
      <c r="M108" s="3"/>
      <c r="N108" s="7">
        <f t="shared" si="55"/>
        <v>0</v>
      </c>
      <c r="O108" s="12"/>
      <c r="P108" s="8">
        <v>-7027.5</v>
      </c>
      <c r="Q108" s="3"/>
      <c r="R108" s="7">
        <f t="shared" si="56"/>
        <v>-4.5090971154611179E-2</v>
      </c>
      <c r="S108" s="3"/>
      <c r="T108" s="8"/>
      <c r="U108" s="3"/>
      <c r="V108" s="7">
        <f t="shared" si="57"/>
        <v>0</v>
      </c>
      <c r="W108" s="3"/>
      <c r="X108" s="8">
        <f t="shared" si="58"/>
        <v>-7027.5</v>
      </c>
      <c r="Y108" s="3"/>
      <c r="Z108" s="7">
        <f t="shared" si="59"/>
        <v>0</v>
      </c>
    </row>
    <row r="109" spans="1:26" s="29" customFormat="1" outlineLevel="1" collapsed="1" x14ac:dyDescent="0.3">
      <c r="A109" s="28"/>
      <c r="B109" s="14" t="str">
        <f>CONCATENATE("     ","Services                                          ")</f>
        <v xml:space="preserve">     Services                                          </v>
      </c>
      <c r="C109" s="14"/>
      <c r="D109" s="1">
        <f>SUM(OSRRefD22_12x_0)</f>
        <v>155.59</v>
      </c>
      <c r="E109" s="1"/>
      <c r="F109" s="5">
        <f t="shared" ref="F109:F111" si="60">IF(D$12=0,0,D109/D$12)</f>
        <v>9.9832148017729694E-4</v>
      </c>
      <c r="G109" s="1"/>
      <c r="H109" s="1">
        <f>SUM(OSRRefH22_12x_0)</f>
        <v>-333.44</v>
      </c>
      <c r="I109" s="1"/>
      <c r="J109" s="5">
        <f t="shared" ref="J109:J111" si="61">IF(H$12=0,0,H109/H$12)</f>
        <v>-1.9077608172338363E-3</v>
      </c>
      <c r="K109" s="1"/>
      <c r="L109" s="1">
        <f t="shared" ref="L109:L111" si="62">+D109-H109</f>
        <v>489.03</v>
      </c>
      <c r="M109" s="1"/>
      <c r="N109" s="5">
        <f t="shared" ref="N109:N111" si="63">IF(H109=0,0,L109/H109)</f>
        <v>-1.4666206813819578</v>
      </c>
      <c r="O109" s="14"/>
      <c r="P109" s="1">
        <f>SUM(OSRRefP22_12x_0)</f>
        <v>155.59</v>
      </c>
      <c r="Q109" s="1"/>
      <c r="R109" s="5">
        <f t="shared" ref="R109:R111" si="64">IF(P$12=0,0,P109/P$12)</f>
        <v>9.9832148017729694E-4</v>
      </c>
      <c r="S109" s="1"/>
      <c r="T109" s="1">
        <f>SUM(OSRRefT22_12x_0)</f>
        <v>-333.44</v>
      </c>
      <c r="U109" s="1"/>
      <c r="V109" s="5">
        <f t="shared" ref="V109:V111" si="65">IF(T$12=0,0,T109/T$12)</f>
        <v>-1.9077608172338363E-3</v>
      </c>
      <c r="W109" s="1"/>
      <c r="X109" s="1">
        <f t="shared" ref="X109:X111" si="66">+P109-T109</f>
        <v>489.03</v>
      </c>
      <c r="Y109" s="1"/>
      <c r="Z109" s="5">
        <f t="shared" ref="Z109:Z111" si="67">IF(T109=0,0,X109/T109)</f>
        <v>-1.4666206813819578</v>
      </c>
    </row>
    <row r="110" spans="1:26" s="24" customFormat="1" hidden="1" outlineLevel="2" x14ac:dyDescent="0.3">
      <c r="A110" s="27"/>
      <c r="B110" s="12" t="str">
        <f>CONCATENATE("          ", "6284", " - ", "TRASH REMOVAL EXPENSE")</f>
        <v xml:space="preserve">          6284 - TRASH REMOVAL EXPENSE</v>
      </c>
      <c r="C110" s="12"/>
      <c r="D110" s="8">
        <v>142.57</v>
      </c>
      <c r="E110" s="3"/>
      <c r="F110" s="7">
        <f t="shared" si="60"/>
        <v>9.1478047065285178E-4</v>
      </c>
      <c r="G110" s="3"/>
      <c r="H110" s="8">
        <v>142.57</v>
      </c>
      <c r="I110" s="3"/>
      <c r="J110" s="7">
        <f t="shared" si="61"/>
        <v>8.1570735278619255E-4</v>
      </c>
      <c r="K110" s="3"/>
      <c r="L110" s="8">
        <f t="shared" si="62"/>
        <v>0</v>
      </c>
      <c r="M110" s="3"/>
      <c r="N110" s="7">
        <f t="shared" si="63"/>
        <v>0</v>
      </c>
      <c r="O110" s="12"/>
      <c r="P110" s="8">
        <v>142.57</v>
      </c>
      <c r="Q110" s="3"/>
      <c r="R110" s="7">
        <f t="shared" si="64"/>
        <v>9.1478047065285178E-4</v>
      </c>
      <c r="S110" s="3"/>
      <c r="T110" s="8">
        <v>142.57</v>
      </c>
      <c r="U110" s="3"/>
      <c r="V110" s="7">
        <f t="shared" si="65"/>
        <v>8.1570735278619255E-4</v>
      </c>
      <c r="W110" s="3"/>
      <c r="X110" s="8">
        <f t="shared" si="66"/>
        <v>0</v>
      </c>
      <c r="Y110" s="3"/>
      <c r="Z110" s="7">
        <f t="shared" si="67"/>
        <v>0</v>
      </c>
    </row>
    <row r="111" spans="1:26" s="24" customFormat="1" hidden="1" outlineLevel="2" x14ac:dyDescent="0.3">
      <c r="A111" s="27"/>
      <c r="B111" s="12" t="str">
        <f>CONCATENATE("          ", "6285", " - ", "JANITORIAL SERVICES")</f>
        <v xml:space="preserve">          6285 - JANITORIAL SERVICES</v>
      </c>
      <c r="C111" s="12"/>
      <c r="D111" s="8">
        <v>13.02</v>
      </c>
      <c r="E111" s="3"/>
      <c r="F111" s="7">
        <f t="shared" si="60"/>
        <v>8.354100952444504E-5</v>
      </c>
      <c r="G111" s="3"/>
      <c r="H111" s="8">
        <v>-476.01</v>
      </c>
      <c r="I111" s="3"/>
      <c r="J111" s="7">
        <f t="shared" si="61"/>
        <v>-2.7234681700200286E-3</v>
      </c>
      <c r="K111" s="3"/>
      <c r="L111" s="8">
        <f t="shared" si="62"/>
        <v>489.03</v>
      </c>
      <c r="M111" s="3"/>
      <c r="N111" s="7">
        <f t="shared" si="63"/>
        <v>-1.0273523665469213</v>
      </c>
      <c r="O111" s="12"/>
      <c r="P111" s="8">
        <v>13.02</v>
      </c>
      <c r="Q111" s="3"/>
      <c r="R111" s="7">
        <f t="shared" si="64"/>
        <v>8.354100952444504E-5</v>
      </c>
      <c r="S111" s="3"/>
      <c r="T111" s="8">
        <v>-476.01</v>
      </c>
      <c r="U111" s="3"/>
      <c r="V111" s="7">
        <f t="shared" si="65"/>
        <v>-2.7234681700200286E-3</v>
      </c>
      <c r="W111" s="3"/>
      <c r="X111" s="8">
        <f t="shared" si="66"/>
        <v>489.03</v>
      </c>
      <c r="Y111" s="3"/>
      <c r="Z111" s="7">
        <f t="shared" si="67"/>
        <v>-1.0273523665469213</v>
      </c>
    </row>
    <row r="112" spans="1:26" s="29" customFormat="1" outlineLevel="1" collapsed="1" x14ac:dyDescent="0.3">
      <c r="A112" s="28"/>
      <c r="B112" s="14" t="str">
        <f>CONCATENATE("     ","Subscriptions &amp; Dues                              ")</f>
        <v xml:space="preserve">     Subscriptions &amp; Dues                              </v>
      </c>
      <c r="C112" s="14"/>
      <c r="D112" s="1">
        <f>SUM(OSRRefD22_13x_0)</f>
        <v>0</v>
      </c>
      <c r="E112" s="1"/>
      <c r="F112" s="5">
        <f t="shared" ref="F112:F118" si="68">IF(D$12=0,0,D112/D$12)</f>
        <v>0</v>
      </c>
      <c r="G112" s="1"/>
      <c r="H112" s="1">
        <f>SUM(OSRRefH22_13x_0)</f>
        <v>75</v>
      </c>
      <c r="I112" s="1"/>
      <c r="J112" s="5">
        <f t="shared" ref="J112:J118" si="69">IF(H$12=0,0,H112/H$12)</f>
        <v>4.2910886903952051E-4</v>
      </c>
      <c r="K112" s="1"/>
      <c r="L112" s="1">
        <f t="shared" ref="L112:L118" si="70">+D112-H112</f>
        <v>-75</v>
      </c>
      <c r="M112" s="1"/>
      <c r="N112" s="5">
        <f t="shared" ref="N112:N118" si="71">IF(H112=0,0,L112/H112)</f>
        <v>-1</v>
      </c>
      <c r="O112" s="14"/>
      <c r="P112" s="1">
        <f>SUM(OSRRefP22_13x_0)</f>
        <v>0</v>
      </c>
      <c r="Q112" s="1"/>
      <c r="R112" s="5">
        <f t="shared" ref="R112:R118" si="72">IF(P$12=0,0,P112/P$12)</f>
        <v>0</v>
      </c>
      <c r="S112" s="1"/>
      <c r="T112" s="1">
        <f>SUM(OSRRefT22_13x_0)</f>
        <v>75</v>
      </c>
      <c r="U112" s="1"/>
      <c r="V112" s="5">
        <f t="shared" ref="V112:V118" si="73">IF(T$12=0,0,T112/T$12)</f>
        <v>4.2910886903952051E-4</v>
      </c>
      <c r="W112" s="1"/>
      <c r="X112" s="1">
        <f t="shared" ref="X112:X118" si="74">+P112-T112</f>
        <v>-75</v>
      </c>
      <c r="Y112" s="1"/>
      <c r="Z112" s="5">
        <f t="shared" ref="Z112:Z118" si="75">IF(T112=0,0,X112/T112)</f>
        <v>-1</v>
      </c>
    </row>
    <row r="113" spans="1:26" s="24" customFormat="1" hidden="1" outlineLevel="2" x14ac:dyDescent="0.3">
      <c r="A113" s="27"/>
      <c r="B113" s="12" t="str">
        <f>CONCATENATE("          ", "6275", " - ", "SUBSCRIPTIONS")</f>
        <v xml:space="preserve">          6275 - SUBSCRIPTIONS</v>
      </c>
      <c r="C113" s="12"/>
      <c r="D113" s="8"/>
      <c r="E113" s="3"/>
      <c r="F113" s="7">
        <f t="shared" si="68"/>
        <v>0</v>
      </c>
      <c r="G113" s="3"/>
      <c r="H113" s="8">
        <v>75</v>
      </c>
      <c r="I113" s="3"/>
      <c r="J113" s="7">
        <f t="shared" si="69"/>
        <v>4.2910886903952051E-4</v>
      </c>
      <c r="K113" s="3"/>
      <c r="L113" s="8">
        <f t="shared" si="70"/>
        <v>-75</v>
      </c>
      <c r="M113" s="3"/>
      <c r="N113" s="7">
        <f t="shared" si="71"/>
        <v>-1</v>
      </c>
      <c r="O113" s="12"/>
      <c r="P113" s="8"/>
      <c r="Q113" s="3"/>
      <c r="R113" s="7">
        <f t="shared" si="72"/>
        <v>0</v>
      </c>
      <c r="S113" s="3"/>
      <c r="T113" s="8">
        <v>75</v>
      </c>
      <c r="U113" s="3"/>
      <c r="V113" s="7">
        <f t="shared" si="73"/>
        <v>4.2910886903952051E-4</v>
      </c>
      <c r="W113" s="3"/>
      <c r="X113" s="8">
        <f t="shared" si="74"/>
        <v>-75</v>
      </c>
      <c r="Y113" s="3"/>
      <c r="Z113" s="7">
        <f t="shared" si="75"/>
        <v>-1</v>
      </c>
    </row>
    <row r="114" spans="1:26" s="29" customFormat="1" outlineLevel="1" collapsed="1" x14ac:dyDescent="0.3">
      <c r="A114" s="28"/>
      <c r="B114" s="14" t="str">
        <f>CONCATENATE("     ","Supplies                                          ")</f>
        <v xml:space="preserve">     Supplies                                          </v>
      </c>
      <c r="C114" s="14"/>
      <c r="D114" s="1">
        <f>SUM(OSRRefD22_14x_0)</f>
        <v>2772.92</v>
      </c>
      <c r="E114" s="1"/>
      <c r="F114" s="5">
        <f t="shared" si="68"/>
        <v>1.7792053466246096E-2</v>
      </c>
      <c r="G114" s="1"/>
      <c r="H114" s="1">
        <f>SUM(OSRRefH22_14x_0)</f>
        <v>1149.0700000000002</v>
      </c>
      <c r="I114" s="1"/>
      <c r="J114" s="5">
        <f t="shared" si="69"/>
        <v>6.5743483752965593E-3</v>
      </c>
      <c r="K114" s="1"/>
      <c r="L114" s="1">
        <f t="shared" si="70"/>
        <v>1623.85</v>
      </c>
      <c r="M114" s="1"/>
      <c r="N114" s="5">
        <f t="shared" si="71"/>
        <v>1.4131863158902414</v>
      </c>
      <c r="O114" s="14"/>
      <c r="P114" s="1">
        <f>SUM(OSRRefP22_14x_0)</f>
        <v>2772.92</v>
      </c>
      <c r="Q114" s="1"/>
      <c r="R114" s="5">
        <f t="shared" si="72"/>
        <v>1.7792053466246096E-2</v>
      </c>
      <c r="S114" s="1"/>
      <c r="T114" s="1">
        <f>SUM(OSRRefT22_14x_0)</f>
        <v>1149.0700000000002</v>
      </c>
      <c r="U114" s="1"/>
      <c r="V114" s="5">
        <f t="shared" si="73"/>
        <v>6.5743483752965593E-3</v>
      </c>
      <c r="W114" s="1"/>
      <c r="X114" s="1">
        <f t="shared" si="74"/>
        <v>1623.85</v>
      </c>
      <c r="Y114" s="1"/>
      <c r="Z114" s="5">
        <f t="shared" si="75"/>
        <v>1.4131863158902414</v>
      </c>
    </row>
    <row r="115" spans="1:26" s="24" customFormat="1" hidden="1" outlineLevel="2" x14ac:dyDescent="0.3">
      <c r="A115" s="27"/>
      <c r="B115" s="12" t="str">
        <f>CONCATENATE("          ", "6235", " - ", "COVID-19 EXPENSES")</f>
        <v xml:space="preserve">          6235 - COVID-19 EXPENSES</v>
      </c>
      <c r="C115" s="12"/>
      <c r="D115" s="8"/>
      <c r="E115" s="3"/>
      <c r="F115" s="7">
        <f t="shared" si="68"/>
        <v>0</v>
      </c>
      <c r="G115" s="3"/>
      <c r="H115" s="8">
        <v>961.38</v>
      </c>
      <c r="I115" s="3"/>
      <c r="J115" s="7">
        <f t="shared" si="69"/>
        <v>5.5004891268961896E-3</v>
      </c>
      <c r="K115" s="3"/>
      <c r="L115" s="8">
        <f t="shared" si="70"/>
        <v>-961.38</v>
      </c>
      <c r="M115" s="3"/>
      <c r="N115" s="7">
        <f t="shared" si="71"/>
        <v>-1</v>
      </c>
      <c r="O115" s="12"/>
      <c r="P115" s="8"/>
      <c r="Q115" s="3"/>
      <c r="R115" s="7">
        <f t="shared" si="72"/>
        <v>0</v>
      </c>
      <c r="S115" s="3"/>
      <c r="T115" s="8">
        <v>961.38</v>
      </c>
      <c r="U115" s="3"/>
      <c r="V115" s="7">
        <f t="shared" si="73"/>
        <v>5.5004891268961896E-3</v>
      </c>
      <c r="W115" s="3"/>
      <c r="X115" s="8">
        <f t="shared" si="74"/>
        <v>-961.38</v>
      </c>
      <c r="Y115" s="3"/>
      <c r="Z115" s="7">
        <f t="shared" si="75"/>
        <v>-1</v>
      </c>
    </row>
    <row r="116" spans="1:26" s="24" customFormat="1" hidden="1" outlineLevel="2" x14ac:dyDescent="0.3">
      <c r="A116" s="27"/>
      <c r="B116" s="12" t="str">
        <f>CONCATENATE("          ", "6237", " - ", "JANITORIAL SUPPLIES")</f>
        <v xml:space="preserve">          6237 - JANITORIAL SUPPLIES</v>
      </c>
      <c r="C116" s="12"/>
      <c r="D116" s="8"/>
      <c r="E116" s="3"/>
      <c r="F116" s="7">
        <f t="shared" si="68"/>
        <v>0</v>
      </c>
      <c r="G116" s="3"/>
      <c r="H116" s="8">
        <v>139.31</v>
      </c>
      <c r="I116" s="3"/>
      <c r="J116" s="7">
        <f t="shared" si="69"/>
        <v>7.970554206119414E-4</v>
      </c>
      <c r="K116" s="3"/>
      <c r="L116" s="8">
        <f t="shared" si="70"/>
        <v>-139.31</v>
      </c>
      <c r="M116" s="3"/>
      <c r="N116" s="7">
        <f t="shared" si="71"/>
        <v>-1</v>
      </c>
      <c r="O116" s="12"/>
      <c r="P116" s="8"/>
      <c r="Q116" s="3"/>
      <c r="R116" s="7">
        <f t="shared" si="72"/>
        <v>0</v>
      </c>
      <c r="S116" s="3"/>
      <c r="T116" s="8">
        <v>139.31</v>
      </c>
      <c r="U116" s="3"/>
      <c r="V116" s="7">
        <f t="shared" si="73"/>
        <v>7.970554206119414E-4</v>
      </c>
      <c r="W116" s="3"/>
      <c r="X116" s="8">
        <f t="shared" si="74"/>
        <v>-139.31</v>
      </c>
      <c r="Y116" s="3"/>
      <c r="Z116" s="7">
        <f t="shared" si="75"/>
        <v>-1</v>
      </c>
    </row>
    <row r="117" spans="1:26" s="24" customFormat="1" hidden="1" outlineLevel="2" x14ac:dyDescent="0.3">
      <c r="A117" s="27"/>
      <c r="B117" s="12" t="str">
        <f>CONCATENATE("          ", "6241", " - ", "OFFICE EXPENSE")</f>
        <v xml:space="preserve">          6241 - OFFICE EXPENSE</v>
      </c>
      <c r="C117" s="12"/>
      <c r="D117" s="8">
        <v>131.47999999999999</v>
      </c>
      <c r="E117" s="3"/>
      <c r="F117" s="7">
        <f t="shared" si="68"/>
        <v>8.4362303627296721E-4</v>
      </c>
      <c r="G117" s="3"/>
      <c r="H117" s="8">
        <v>48.38</v>
      </c>
      <c r="I117" s="3"/>
      <c r="J117" s="7">
        <f t="shared" si="69"/>
        <v>2.7680382778842673E-4</v>
      </c>
      <c r="K117" s="3"/>
      <c r="L117" s="8">
        <f t="shared" si="70"/>
        <v>83.1</v>
      </c>
      <c r="M117" s="3"/>
      <c r="N117" s="7">
        <f t="shared" si="71"/>
        <v>1.7176519222819344</v>
      </c>
      <c r="O117" s="12"/>
      <c r="P117" s="8">
        <v>131.47999999999999</v>
      </c>
      <c r="Q117" s="3"/>
      <c r="R117" s="7">
        <f t="shared" si="72"/>
        <v>8.4362303627296721E-4</v>
      </c>
      <c r="S117" s="3"/>
      <c r="T117" s="8">
        <v>48.38</v>
      </c>
      <c r="U117" s="3"/>
      <c r="V117" s="7">
        <f t="shared" si="73"/>
        <v>2.7680382778842673E-4</v>
      </c>
      <c r="W117" s="3"/>
      <c r="X117" s="8">
        <f t="shared" si="74"/>
        <v>83.1</v>
      </c>
      <c r="Y117" s="3"/>
      <c r="Z117" s="7">
        <f t="shared" si="75"/>
        <v>1.7176519222819344</v>
      </c>
    </row>
    <row r="118" spans="1:26" s="24" customFormat="1" hidden="1" outlineLevel="2" x14ac:dyDescent="0.3">
      <c r="A118" s="27"/>
      <c r="B118" s="12" t="str">
        <f>CONCATENATE("          ", "6247", " - ", "STORE SUPPLIES")</f>
        <v xml:space="preserve">          6247 - STORE SUPPLIES</v>
      </c>
      <c r="C118" s="12"/>
      <c r="D118" s="8">
        <v>2641.44</v>
      </c>
      <c r="E118" s="3"/>
      <c r="F118" s="7">
        <f t="shared" si="68"/>
        <v>1.6948430429973127E-2</v>
      </c>
      <c r="G118" s="3"/>
      <c r="H118" s="8"/>
      <c r="I118" s="3"/>
      <c r="J118" s="7">
        <f t="shared" si="69"/>
        <v>0</v>
      </c>
      <c r="K118" s="3"/>
      <c r="L118" s="8">
        <f t="shared" si="70"/>
        <v>2641.44</v>
      </c>
      <c r="M118" s="3"/>
      <c r="N118" s="7">
        <f t="shared" si="71"/>
        <v>0</v>
      </c>
      <c r="O118" s="12"/>
      <c r="P118" s="8">
        <v>2641.44</v>
      </c>
      <c r="Q118" s="3"/>
      <c r="R118" s="7">
        <f t="shared" si="72"/>
        <v>1.6948430429973127E-2</v>
      </c>
      <c r="S118" s="3"/>
      <c r="T118" s="8"/>
      <c r="U118" s="3"/>
      <c r="V118" s="7">
        <f t="shared" si="73"/>
        <v>0</v>
      </c>
      <c r="W118" s="3"/>
      <c r="X118" s="8">
        <f t="shared" si="74"/>
        <v>2641.44</v>
      </c>
      <c r="Y118" s="3"/>
      <c r="Z118" s="7">
        <f t="shared" si="75"/>
        <v>0</v>
      </c>
    </row>
    <row r="119" spans="1:26" s="29" customFormat="1" outlineLevel="1" collapsed="1" x14ac:dyDescent="0.3">
      <c r="A119" s="28"/>
      <c r="B119" s="14" t="str">
        <f>CONCATENATE("     ","Telephone/Data Lines                              ")</f>
        <v xml:space="preserve">     Telephone/Data Lines                              </v>
      </c>
      <c r="C119" s="14"/>
      <c r="D119" s="1">
        <f>SUM(OSRRefD22_15x_0)</f>
        <v>266.89</v>
      </c>
      <c r="E119" s="1"/>
      <c r="F119" s="5">
        <f t="shared" ref="F119:F124" si="76">IF(D$12=0,0,D119/D$12)</f>
        <v>1.7124623680475528E-3</v>
      </c>
      <c r="G119" s="1"/>
      <c r="H119" s="1">
        <f>SUM(OSRRefH22_15x_0)</f>
        <v>792.54</v>
      </c>
      <c r="I119" s="1"/>
      <c r="J119" s="5">
        <f t="shared" ref="J119:J124" si="77">IF(H$12=0,0,H119/H$12)</f>
        <v>4.5344792409144213E-3</v>
      </c>
      <c r="K119" s="1"/>
      <c r="L119" s="1">
        <f t="shared" ref="L119:L124" si="78">+D119-H119</f>
        <v>-525.65</v>
      </c>
      <c r="M119" s="1"/>
      <c r="N119" s="5">
        <f t="shared" ref="N119:N124" si="79">IF(H119=0,0,L119/H119)</f>
        <v>-0.66324728089433971</v>
      </c>
      <c r="O119" s="14"/>
      <c r="P119" s="1">
        <f>SUM(OSRRefP22_15x_0)</f>
        <v>266.89</v>
      </c>
      <c r="Q119" s="1"/>
      <c r="R119" s="5">
        <f t="shared" ref="R119:R124" si="80">IF(P$12=0,0,P119/P$12)</f>
        <v>1.7124623680475528E-3</v>
      </c>
      <c r="S119" s="1"/>
      <c r="T119" s="1">
        <f>SUM(OSRRefT22_15x_0)</f>
        <v>792.54</v>
      </c>
      <c r="U119" s="1"/>
      <c r="V119" s="5">
        <f t="shared" ref="V119:V124" si="81">IF(T$12=0,0,T119/T$12)</f>
        <v>4.5344792409144213E-3</v>
      </c>
      <c r="W119" s="1"/>
      <c r="X119" s="1">
        <f t="shared" ref="X119:X124" si="82">+P119-T119</f>
        <v>-525.65</v>
      </c>
      <c r="Y119" s="1"/>
      <c r="Z119" s="5">
        <f t="shared" ref="Z119:Z124" si="83">IF(T119=0,0,X119/T119)</f>
        <v>-0.66324728089433971</v>
      </c>
    </row>
    <row r="120" spans="1:26" s="24" customFormat="1" hidden="1" outlineLevel="2" x14ac:dyDescent="0.3">
      <c r="A120" s="27"/>
      <c r="B120" s="12" t="str">
        <f>CONCATENATE("          ", "6309", " - ", "TELEPHONE")</f>
        <v xml:space="preserve">          6309 - TELEPHONE</v>
      </c>
      <c r="C120" s="12"/>
      <c r="D120" s="8">
        <v>266.89</v>
      </c>
      <c r="E120" s="3"/>
      <c r="F120" s="7">
        <f t="shared" si="76"/>
        <v>1.7124623680475528E-3</v>
      </c>
      <c r="G120" s="3"/>
      <c r="H120" s="8">
        <v>792.54</v>
      </c>
      <c r="I120" s="3"/>
      <c r="J120" s="7">
        <f t="shared" si="77"/>
        <v>4.5344792409144213E-3</v>
      </c>
      <c r="K120" s="3"/>
      <c r="L120" s="8">
        <f t="shared" si="78"/>
        <v>-525.65</v>
      </c>
      <c r="M120" s="3"/>
      <c r="N120" s="7">
        <f t="shared" si="79"/>
        <v>-0.66324728089433971</v>
      </c>
      <c r="O120" s="12"/>
      <c r="P120" s="8">
        <v>266.89</v>
      </c>
      <c r="Q120" s="3"/>
      <c r="R120" s="7">
        <f t="shared" si="80"/>
        <v>1.7124623680475528E-3</v>
      </c>
      <c r="S120" s="3"/>
      <c r="T120" s="8">
        <v>792.54</v>
      </c>
      <c r="U120" s="3"/>
      <c r="V120" s="7">
        <f t="shared" si="81"/>
        <v>4.5344792409144213E-3</v>
      </c>
      <c r="W120" s="3"/>
      <c r="X120" s="8">
        <f t="shared" si="82"/>
        <v>-525.65</v>
      </c>
      <c r="Y120" s="3"/>
      <c r="Z120" s="7">
        <f t="shared" si="83"/>
        <v>-0.66324728089433971</v>
      </c>
    </row>
    <row r="121" spans="1:26" s="29" customFormat="1" outlineLevel="1" collapsed="1" x14ac:dyDescent="0.3">
      <c r="A121" s="28"/>
      <c r="B121" s="14" t="str">
        <f>CONCATENATE("     ","Travel                                            ")</f>
        <v xml:space="preserve">     Travel                                            </v>
      </c>
      <c r="C121" s="14"/>
      <c r="D121" s="1">
        <f>SUM(OSRRefD22_16x_0)</f>
        <v>188.14</v>
      </c>
      <c r="E121" s="1"/>
      <c r="F121" s="5">
        <f t="shared" si="76"/>
        <v>1.2071740039884093E-3</v>
      </c>
      <c r="G121" s="1"/>
      <c r="H121" s="1">
        <f>SUM(OSRRefH22_16x_0)</f>
        <v>215.16</v>
      </c>
      <c r="I121" s="1"/>
      <c r="J121" s="5">
        <f t="shared" si="77"/>
        <v>1.2310275235005764E-3</v>
      </c>
      <c r="K121" s="1"/>
      <c r="L121" s="1">
        <f t="shared" si="78"/>
        <v>-27.02000000000001</v>
      </c>
      <c r="M121" s="1"/>
      <c r="N121" s="5">
        <f t="shared" si="79"/>
        <v>-0.12558096300427593</v>
      </c>
      <c r="O121" s="14"/>
      <c r="P121" s="1">
        <f>SUM(OSRRefP22_16x_0)</f>
        <v>188.14</v>
      </c>
      <c r="Q121" s="1"/>
      <c r="R121" s="5">
        <f t="shared" si="80"/>
        <v>1.2071740039884093E-3</v>
      </c>
      <c r="S121" s="1"/>
      <c r="T121" s="1">
        <f>SUM(OSRRefT22_16x_0)</f>
        <v>215.16</v>
      </c>
      <c r="U121" s="1"/>
      <c r="V121" s="5">
        <f t="shared" si="81"/>
        <v>1.2310275235005764E-3</v>
      </c>
      <c r="W121" s="1"/>
      <c r="X121" s="1">
        <f t="shared" si="82"/>
        <v>-27.02000000000001</v>
      </c>
      <c r="Y121" s="1"/>
      <c r="Z121" s="5">
        <f t="shared" si="83"/>
        <v>-0.12558096300427593</v>
      </c>
    </row>
    <row r="122" spans="1:26" s="24" customFormat="1" hidden="1" outlineLevel="2" x14ac:dyDescent="0.3">
      <c r="A122" s="27"/>
      <c r="B122" s="12" t="str">
        <f>CONCATENATE("          ", "6294", " - ", "TRAVEL OPERATIONAL")</f>
        <v xml:space="preserve">          6294 - TRAVEL OPERATIONAL</v>
      </c>
      <c r="C122" s="12"/>
      <c r="D122" s="8">
        <v>188.14</v>
      </c>
      <c r="E122" s="3"/>
      <c r="F122" s="7">
        <f t="shared" si="76"/>
        <v>1.2071740039884093E-3</v>
      </c>
      <c r="G122" s="3"/>
      <c r="H122" s="8">
        <v>215.16</v>
      </c>
      <c r="I122" s="3"/>
      <c r="J122" s="7">
        <f t="shared" si="77"/>
        <v>1.2310275235005764E-3</v>
      </c>
      <c r="K122" s="3"/>
      <c r="L122" s="8">
        <f t="shared" si="78"/>
        <v>-27.02000000000001</v>
      </c>
      <c r="M122" s="3"/>
      <c r="N122" s="7">
        <f t="shared" si="79"/>
        <v>-0.12558096300427593</v>
      </c>
      <c r="O122" s="12"/>
      <c r="P122" s="8">
        <v>188.14</v>
      </c>
      <c r="Q122" s="3"/>
      <c r="R122" s="7">
        <f t="shared" si="80"/>
        <v>1.2071740039884093E-3</v>
      </c>
      <c r="S122" s="3"/>
      <c r="T122" s="8">
        <v>215.16</v>
      </c>
      <c r="U122" s="3"/>
      <c r="V122" s="7">
        <f t="shared" si="81"/>
        <v>1.2310275235005764E-3</v>
      </c>
      <c r="W122" s="3"/>
      <c r="X122" s="8">
        <f t="shared" si="82"/>
        <v>-27.02000000000001</v>
      </c>
      <c r="Y122" s="3"/>
      <c r="Z122" s="7">
        <f t="shared" si="83"/>
        <v>-0.12558096300427593</v>
      </c>
    </row>
    <row r="123" spans="1:26" s="29" customFormat="1" outlineLevel="1" collapsed="1" x14ac:dyDescent="0.3">
      <c r="A123" s="28"/>
      <c r="B123" s="14" t="str">
        <f>CONCATENATE("     ","Utilities                                         ")</f>
        <v xml:space="preserve">     Utilities                                         </v>
      </c>
      <c r="C123" s="14"/>
      <c r="D123" s="1">
        <f>SUM(OSRRefD22_17x_0)</f>
        <v>36.49</v>
      </c>
      <c r="E123" s="1"/>
      <c r="F123" s="5">
        <f t="shared" si="76"/>
        <v>2.3413298291451612E-4</v>
      </c>
      <c r="G123" s="1"/>
      <c r="H123" s="1">
        <f>SUM(OSRRefH22_17x_0)</f>
        <v>28.46</v>
      </c>
      <c r="I123" s="1"/>
      <c r="J123" s="5">
        <f t="shared" si="77"/>
        <v>1.6283251217153006E-4</v>
      </c>
      <c r="K123" s="1"/>
      <c r="L123" s="1">
        <f t="shared" si="78"/>
        <v>8.0300000000000011</v>
      </c>
      <c r="M123" s="1"/>
      <c r="N123" s="5">
        <f t="shared" si="79"/>
        <v>0.28215038650737884</v>
      </c>
      <c r="O123" s="14"/>
      <c r="P123" s="1">
        <f>SUM(OSRRefP22_17x_0)</f>
        <v>36.49</v>
      </c>
      <c r="Q123" s="1"/>
      <c r="R123" s="5">
        <f t="shared" si="80"/>
        <v>2.3413298291451612E-4</v>
      </c>
      <c r="S123" s="1"/>
      <c r="T123" s="1">
        <f>SUM(OSRRefT22_17x_0)</f>
        <v>28.46</v>
      </c>
      <c r="U123" s="1"/>
      <c r="V123" s="5">
        <f t="shared" si="81"/>
        <v>1.6283251217153006E-4</v>
      </c>
      <c r="W123" s="1"/>
      <c r="X123" s="1">
        <f t="shared" si="82"/>
        <v>8.0300000000000011</v>
      </c>
      <c r="Y123" s="1"/>
      <c r="Z123" s="5">
        <f t="shared" si="83"/>
        <v>0.28215038650737884</v>
      </c>
    </row>
    <row r="124" spans="1:26" s="24" customFormat="1" hidden="1" outlineLevel="2" x14ac:dyDescent="0.3">
      <c r="A124" s="27"/>
      <c r="B124" s="12" t="str">
        <f>CONCATENATE("          ", "6274", " - ", "UTILITIES")</f>
        <v xml:space="preserve">          6274 - UTILITIES</v>
      </c>
      <c r="C124" s="12"/>
      <c r="D124" s="8">
        <v>36.49</v>
      </c>
      <c r="E124" s="3"/>
      <c r="F124" s="7">
        <f t="shared" si="76"/>
        <v>2.3413298291451612E-4</v>
      </c>
      <c r="G124" s="3"/>
      <c r="H124" s="8">
        <v>28.46</v>
      </c>
      <c r="I124" s="3"/>
      <c r="J124" s="7">
        <f t="shared" si="77"/>
        <v>1.6283251217153006E-4</v>
      </c>
      <c r="K124" s="3"/>
      <c r="L124" s="8">
        <f t="shared" si="78"/>
        <v>8.0300000000000011</v>
      </c>
      <c r="M124" s="3"/>
      <c r="N124" s="7">
        <f t="shared" si="79"/>
        <v>0.28215038650737884</v>
      </c>
      <c r="O124" s="12"/>
      <c r="P124" s="8">
        <v>36.49</v>
      </c>
      <c r="Q124" s="3"/>
      <c r="R124" s="7">
        <f t="shared" si="80"/>
        <v>2.3413298291451612E-4</v>
      </c>
      <c r="S124" s="3"/>
      <c r="T124" s="8">
        <v>28.46</v>
      </c>
      <c r="U124" s="3"/>
      <c r="V124" s="7">
        <f t="shared" si="81"/>
        <v>1.6283251217153006E-4</v>
      </c>
      <c r="W124" s="3"/>
      <c r="X124" s="8">
        <f t="shared" si="82"/>
        <v>8.0300000000000011</v>
      </c>
      <c r="Y124" s="3"/>
      <c r="Z124" s="7">
        <f t="shared" si="83"/>
        <v>0.28215038650737884</v>
      </c>
    </row>
    <row r="125" spans="1:26" s="53" customFormat="1" x14ac:dyDescent="0.3">
      <c r="A125" s="37"/>
      <c r="B125" s="37"/>
      <c r="C125" s="37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7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collapsed="1" x14ac:dyDescent="0.3">
      <c r="A126" s="10"/>
      <c r="B126" s="25" t="s">
        <v>292</v>
      </c>
      <c r="C126" s="10"/>
      <c r="D126" s="4">
        <f>SUM(OSRRefD25x_0)</f>
        <v>35082.020000000004</v>
      </c>
      <c r="E126" s="4"/>
      <c r="F126" s="11">
        <f t="shared" ref="F126:F128" si="84">IF(D$12=0,0,D126/D$12)</f>
        <v>0.22509887611035115</v>
      </c>
      <c r="G126" s="4"/>
      <c r="H126" s="4">
        <f>SUM(OSRRefH25x_0)</f>
        <v>172008.31</v>
      </c>
      <c r="I126" s="4"/>
      <c r="J126" s="11">
        <f t="shared" ref="J126:J128" si="85">IF(H$12=0,0,H126/H$12)</f>
        <v>0.98413721825999001</v>
      </c>
      <c r="K126" s="4"/>
      <c r="L126" s="4">
        <f t="shared" ref="L126:L128" si="86">+D126-H126</f>
        <v>-136926.28999999998</v>
      </c>
      <c r="M126" s="4"/>
      <c r="N126" s="11">
        <f t="shared" ref="N126:N128" si="87">IF(H126=0,0,L126/H126)</f>
        <v>-0.79604462133253895</v>
      </c>
      <c r="O126" s="10"/>
      <c r="P126" s="4">
        <f>SUM(OSRRefP25x_0)</f>
        <v>35082.020000000004</v>
      </c>
      <c r="Q126" s="4"/>
      <c r="R126" s="11">
        <f t="shared" ref="R126:R128" si="88">IF(P$12=0,0,P126/P$12)</f>
        <v>0.22509887611035115</v>
      </c>
      <c r="S126" s="4"/>
      <c r="T126" s="4">
        <f>SUM(OSRRefT25x_0)</f>
        <v>172008.31</v>
      </c>
      <c r="U126" s="4"/>
      <c r="V126" s="11">
        <f t="shared" ref="V126:V128" si="89">IF(T$12=0,0,T126/T$12)</f>
        <v>0.98413721825999001</v>
      </c>
      <c r="W126" s="4"/>
      <c r="X126" s="4">
        <f t="shared" ref="X126:X128" si="90">+P126-T126</f>
        <v>-136926.28999999998</v>
      </c>
      <c r="Y126" s="4"/>
      <c r="Z126" s="11">
        <f t="shared" ref="Z126:Z128" si="91">IF(T126=0,0,X126/T126)</f>
        <v>-0.79604462133253895</v>
      </c>
    </row>
    <row r="127" spans="1:26" s="24" customFormat="1" hidden="1" outlineLevel="1" x14ac:dyDescent="0.3">
      <c r="A127" s="50"/>
      <c r="B127" s="12" t="str">
        <f>CONCATENATE("          ", "9150", " - ", "MISC. INCOME")</f>
        <v xml:space="preserve">          9150 - MISC. INCOME</v>
      </c>
      <c r="C127" s="12"/>
      <c r="D127" s="3">
        <f>--28753.08</f>
        <v>28753.08</v>
      </c>
      <c r="E127" s="3"/>
      <c r="F127" s="22">
        <f t="shared" si="84"/>
        <v>0.18449011752205302</v>
      </c>
      <c r="G127" s="3"/>
      <c r="H127" s="3">
        <f>--11344.41</f>
        <v>11344.41</v>
      </c>
      <c r="I127" s="3"/>
      <c r="J127" s="22">
        <f t="shared" si="85"/>
        <v>6.490649260027502E-2</v>
      </c>
      <c r="K127" s="3"/>
      <c r="L127" s="3">
        <f t="shared" si="86"/>
        <v>17408.670000000002</v>
      </c>
      <c r="M127" s="3"/>
      <c r="N127" s="22">
        <f t="shared" si="87"/>
        <v>1.5345593115904663</v>
      </c>
      <c r="O127" s="12"/>
      <c r="P127" s="3">
        <f>--28753.08</f>
        <v>28753.08</v>
      </c>
      <c r="Q127" s="3"/>
      <c r="R127" s="22">
        <f t="shared" si="88"/>
        <v>0.18449011752205302</v>
      </c>
      <c r="S127" s="3"/>
      <c r="T127" s="3">
        <f>--11344.41</f>
        <v>11344.41</v>
      </c>
      <c r="U127" s="3"/>
      <c r="V127" s="22">
        <f t="shared" si="89"/>
        <v>6.490649260027502E-2</v>
      </c>
      <c r="W127" s="3"/>
      <c r="X127" s="3">
        <f t="shared" si="90"/>
        <v>17408.670000000002</v>
      </c>
      <c r="Y127" s="3"/>
      <c r="Z127" s="22">
        <f t="shared" si="91"/>
        <v>1.5345593115904663</v>
      </c>
    </row>
    <row r="128" spans="1:26" s="24" customFormat="1" hidden="1" outlineLevel="1" x14ac:dyDescent="0.3">
      <c r="A128" s="50"/>
      <c r="B128" s="12" t="str">
        <f>CONCATENATE("          ", "9163", " - ", "MISC. INCOME")</f>
        <v xml:space="preserve">          9163 - MISC. INCOME</v>
      </c>
      <c r="C128" s="12"/>
      <c r="D128" s="3">
        <f>--6328.94</f>
        <v>6328.94</v>
      </c>
      <c r="E128" s="3"/>
      <c r="F128" s="22">
        <f t="shared" si="84"/>
        <v>4.0608758588298093E-2</v>
      </c>
      <c r="G128" s="3"/>
      <c r="H128" s="3">
        <f>--160663.9</f>
        <v>160663.9</v>
      </c>
      <c r="I128" s="3"/>
      <c r="J128" s="22">
        <f t="shared" si="85"/>
        <v>0.91923072565971486</v>
      </c>
      <c r="K128" s="3"/>
      <c r="L128" s="3">
        <f t="shared" si="86"/>
        <v>-154334.96</v>
      </c>
      <c r="M128" s="3"/>
      <c r="N128" s="22">
        <f t="shared" si="87"/>
        <v>-0.96060757892718895</v>
      </c>
      <c r="O128" s="12"/>
      <c r="P128" s="3">
        <f>--6328.94</f>
        <v>6328.94</v>
      </c>
      <c r="Q128" s="3"/>
      <c r="R128" s="22">
        <f t="shared" si="88"/>
        <v>4.0608758588298093E-2</v>
      </c>
      <c r="S128" s="3"/>
      <c r="T128" s="3">
        <f>--160663.9</f>
        <v>160663.9</v>
      </c>
      <c r="U128" s="3"/>
      <c r="V128" s="22">
        <f t="shared" si="89"/>
        <v>0.91923072565971486</v>
      </c>
      <c r="W128" s="3"/>
      <c r="X128" s="3">
        <f t="shared" si="90"/>
        <v>-154334.96</v>
      </c>
      <c r="Y128" s="3"/>
      <c r="Z128" s="22">
        <f t="shared" si="91"/>
        <v>-0.96060757892718895</v>
      </c>
    </row>
    <row r="129" spans="1:26" x14ac:dyDescent="0.3">
      <c r="A129" s="9"/>
      <c r="B129" s="10"/>
      <c r="C129" s="10"/>
      <c r="D129" s="2"/>
      <c r="E129" s="2"/>
      <c r="F129" s="6"/>
      <c r="G129" s="2"/>
      <c r="H129" s="2"/>
      <c r="I129" s="2"/>
      <c r="J129" s="6"/>
      <c r="K129" s="2"/>
      <c r="L129" s="2"/>
      <c r="M129" s="2"/>
      <c r="N129" s="6"/>
      <c r="O129" s="10"/>
      <c r="P129" s="2"/>
      <c r="Q129" s="2"/>
      <c r="R129" s="6"/>
      <c r="S129" s="2"/>
      <c r="T129" s="2"/>
      <c r="U129" s="2"/>
      <c r="V129" s="6"/>
      <c r="W129" s="2"/>
      <c r="X129" s="2"/>
      <c r="Y129" s="2"/>
      <c r="Z129" s="6"/>
    </row>
    <row r="130" spans="1:26" s="23" customFormat="1" x14ac:dyDescent="0.3">
      <c r="A130" s="10"/>
      <c r="B130" s="26" t="s">
        <v>276</v>
      </c>
      <c r="C130" s="26"/>
      <c r="D130" s="20">
        <f>+D68-D70+D126</f>
        <v>12021.13999999997</v>
      </c>
      <c r="E130" s="13"/>
      <c r="F130" s="21">
        <f>IF(D$12=0,0,D130/D$12)</f>
        <v>7.7131963996519573E-2</v>
      </c>
      <c r="G130" s="13"/>
      <c r="H130" s="20">
        <f>+H68-H70+H126</f>
        <v>173466.72999999998</v>
      </c>
      <c r="I130" s="13"/>
      <c r="J130" s="21">
        <f>IF(H$12=0,0,H130/H$12)</f>
        <v>0.9924814976837848</v>
      </c>
      <c r="K130" s="16"/>
      <c r="L130" s="20">
        <f>+D130-H130</f>
        <v>-161445.59000000003</v>
      </c>
      <c r="M130" s="16"/>
      <c r="N130" s="21">
        <f>IF(H130=0,0,L130/H130)</f>
        <v>-0.93070060178110259</v>
      </c>
      <c r="O130" s="25"/>
      <c r="P130" s="20">
        <f>+P68-P70+P126</f>
        <v>12021.13999999997</v>
      </c>
      <c r="Q130" s="13"/>
      <c r="R130" s="21">
        <f>IF(P$12=0,0,P130/P$12)</f>
        <v>7.7131963996519573E-2</v>
      </c>
      <c r="S130" s="13"/>
      <c r="T130" s="20">
        <f>+T68-T70+T126</f>
        <v>173466.72999999998</v>
      </c>
      <c r="U130" s="13"/>
      <c r="V130" s="21">
        <f>IF(T$12=0,0,T130/T$12)</f>
        <v>0.9924814976837848</v>
      </c>
      <c r="W130" s="16"/>
      <c r="X130" s="20">
        <f>+P130-T130</f>
        <v>-161445.59000000003</v>
      </c>
      <c r="Y130" s="16"/>
      <c r="Z130" s="21">
        <f>IF(T130=0,0,X130/T130)</f>
        <v>-0.93070060178110259</v>
      </c>
    </row>
    <row r="131" spans="1:26" x14ac:dyDescent="0.3">
      <c r="A131" s="9"/>
      <c r="B131" s="10"/>
      <c r="C131" s="9"/>
      <c r="D131" s="2"/>
      <c r="E131" s="2"/>
      <c r="F131" s="6"/>
      <c r="G131" s="2"/>
      <c r="H131" s="2"/>
      <c r="I131" s="2"/>
      <c r="J131" s="6"/>
      <c r="K131" s="2"/>
      <c r="L131" s="2"/>
      <c r="M131" s="2"/>
      <c r="N131" s="6"/>
      <c r="P131" s="2"/>
      <c r="Q131" s="2"/>
      <c r="R131" s="6"/>
      <c r="S131" s="2"/>
      <c r="T131" s="2"/>
      <c r="U131" s="2"/>
      <c r="V131" s="6"/>
      <c r="W131" s="2"/>
      <c r="X131" s="2"/>
      <c r="Y131" s="2"/>
      <c r="Z131" s="6"/>
    </row>
    <row r="132" spans="1:26" s="23" customFormat="1" x14ac:dyDescent="0.3">
      <c r="A132" s="51"/>
      <c r="B132" s="10" t="s">
        <v>127</v>
      </c>
      <c r="C132" s="10"/>
      <c r="D132" s="4">
        <v>72002.8</v>
      </c>
      <c r="E132" s="4"/>
      <c r="F132" s="11">
        <f>IF(D$12=0,0,D132/D$12)</f>
        <v>0.4619958986625739</v>
      </c>
      <c r="G132" s="4"/>
      <c r="H132" s="4">
        <v>88847.32</v>
      </c>
      <c r="I132" s="4"/>
      <c r="J132" s="11">
        <f>IF(H$12=0,0,H132/H$12)</f>
        <v>0.50833564003189835</v>
      </c>
      <c r="K132" s="4"/>
      <c r="L132" s="4">
        <f>+D132-H132</f>
        <v>-16844.520000000004</v>
      </c>
      <c r="M132" s="4"/>
      <c r="N132" s="11">
        <f>IF(H132=0,0,L132/H132)</f>
        <v>-0.18958951153506939</v>
      </c>
      <c r="O132" s="10"/>
      <c r="P132" s="4">
        <v>72002.8</v>
      </c>
      <c r="Q132" s="4"/>
      <c r="R132" s="11">
        <f>IF(P$12=0,0,P132/P$12)</f>
        <v>0.4619958986625739</v>
      </c>
      <c r="S132" s="4"/>
      <c r="T132" s="4">
        <v>88847.32</v>
      </c>
      <c r="U132" s="4"/>
      <c r="V132" s="11">
        <f>IF(T$12=0,0,T132/T$12)</f>
        <v>0.50833564003189835</v>
      </c>
      <c r="W132" s="4"/>
      <c r="X132" s="4">
        <f>+P132-T132</f>
        <v>-16844.520000000004</v>
      </c>
      <c r="Y132" s="4"/>
      <c r="Z132" s="11">
        <f>IF(T132=0,0,X132/T132)</f>
        <v>-0.18958951153506939</v>
      </c>
    </row>
    <row r="133" spans="1:26" x14ac:dyDescent="0.3">
      <c r="A133" s="9"/>
      <c r="B133" s="10"/>
      <c r="C133" s="10"/>
      <c r="D133" s="2"/>
      <c r="E133" s="2"/>
      <c r="F133" s="6"/>
      <c r="G133" s="2"/>
      <c r="H133" s="2"/>
      <c r="I133" s="2"/>
      <c r="J133" s="6"/>
      <c r="K133" s="2"/>
      <c r="L133" s="2"/>
      <c r="M133" s="2"/>
      <c r="N133" s="6"/>
      <c r="O133" s="10"/>
      <c r="P133" s="2"/>
      <c r="Q133" s="2"/>
      <c r="R133" s="6"/>
      <c r="S133" s="2"/>
      <c r="T133" s="2"/>
      <c r="U133" s="2"/>
      <c r="V133" s="6"/>
      <c r="W133" s="2"/>
      <c r="X133" s="2"/>
      <c r="Y133" s="2"/>
      <c r="Z133" s="6"/>
    </row>
    <row r="134" spans="1:26" s="23" customFormat="1" ht="15" thickBot="1" x14ac:dyDescent="0.35">
      <c r="A134" s="10"/>
      <c r="B134" s="26" t="s">
        <v>125</v>
      </c>
      <c r="C134" s="26"/>
      <c r="D134" s="36">
        <f>+D130-D132</f>
        <v>-59981.660000000033</v>
      </c>
      <c r="E134" s="13"/>
      <c r="F134" s="34">
        <f>IF(D$12=0,0,D134/D$12)</f>
        <v>-0.38486393466605429</v>
      </c>
      <c r="G134" s="13"/>
      <c r="H134" s="36">
        <f>+H130-H132</f>
        <v>84619.409999999974</v>
      </c>
      <c r="I134" s="13"/>
      <c r="J134" s="34">
        <f>IF(H$12=0,0,H134/H$12)</f>
        <v>0.48414585765188645</v>
      </c>
      <c r="K134" s="16"/>
      <c r="L134" s="36">
        <f>D134-H134</f>
        <v>-144601.07</v>
      </c>
      <c r="M134" s="16"/>
      <c r="N134" s="34">
        <f>IF(H134=0,0,L134/H134)</f>
        <v>-1.7088404421633294</v>
      </c>
      <c r="O134" s="25"/>
      <c r="P134" s="36">
        <f>+P130-P132</f>
        <v>-59981.660000000033</v>
      </c>
      <c r="Q134" s="13"/>
      <c r="R134" s="34">
        <f>IF(P$12=0,0,P134/P$12)</f>
        <v>-0.38486393466605429</v>
      </c>
      <c r="S134" s="13"/>
      <c r="T134" s="36">
        <f>+T130-T132</f>
        <v>84619.409999999974</v>
      </c>
      <c r="U134" s="13"/>
      <c r="V134" s="34">
        <f>IF(T$12=0,0,T134/T$12)</f>
        <v>0.48414585765188645</v>
      </c>
      <c r="W134" s="16"/>
      <c r="X134" s="36">
        <f>P134-T134</f>
        <v>-144601.07</v>
      </c>
      <c r="Y134" s="16"/>
      <c r="Z134" s="34">
        <f>IF(T134=0,0,X134/T134)</f>
        <v>-1.7088404421633294</v>
      </c>
    </row>
    <row r="135" spans="1:26" ht="15" thickTop="1" x14ac:dyDescent="0.3">
      <c r="A135" s="9"/>
      <c r="B135" s="9"/>
      <c r="C135" s="9"/>
      <c r="D135" s="2"/>
      <c r="E135" s="2"/>
      <c r="F135" s="6"/>
      <c r="G135" s="2"/>
      <c r="H135" s="2"/>
      <c r="I135" s="2"/>
      <c r="J135" s="6"/>
      <c r="K135" s="2"/>
      <c r="L135" s="2"/>
      <c r="M135" s="2"/>
      <c r="N135" s="6"/>
      <c r="P135" s="2"/>
      <c r="Q135" s="2"/>
      <c r="R135" s="6"/>
      <c r="S135" s="2"/>
      <c r="T135" s="2"/>
      <c r="U135" s="2"/>
      <c r="V135" s="6"/>
      <c r="W135" s="2"/>
      <c r="X135" s="2"/>
      <c r="Y135" s="2"/>
      <c r="Z135" s="6"/>
    </row>
    <row r="136" spans="1:26" x14ac:dyDescent="0.3">
      <c r="A136" s="9"/>
      <c r="B136" s="9"/>
      <c r="C136" s="9"/>
      <c r="D136" s="2"/>
      <c r="E136" s="2"/>
      <c r="F136" s="6"/>
      <c r="G136" s="2"/>
      <c r="H136" s="2"/>
      <c r="I136" s="2"/>
      <c r="J136" s="6"/>
      <c r="K136" s="2"/>
      <c r="L136" s="2"/>
      <c r="M136" s="2"/>
      <c r="N136" s="6"/>
      <c r="P136" s="2"/>
      <c r="Q136" s="2"/>
      <c r="R136" s="6"/>
      <c r="S136" s="2"/>
      <c r="T136" s="2"/>
      <c r="U136" s="2"/>
      <c r="V136" s="6"/>
      <c r="W136" s="2"/>
      <c r="X136" s="2"/>
      <c r="Y136" s="2"/>
      <c r="Z136" s="6"/>
    </row>
    <row r="137" spans="1:26" s="23" customFormat="1" ht="15" thickBot="1" x14ac:dyDescent="0.35">
      <c r="A137" s="10"/>
      <c r="B137" s="26" t="s">
        <v>293</v>
      </c>
      <c r="C137" s="26"/>
      <c r="D137" s="31">
        <f>SUM(D134:D136)</f>
        <v>-59981.660000000033</v>
      </c>
      <c r="E137" s="13"/>
      <c r="F137" s="33">
        <f>IF(D$12=0,0,D137/D$12)</f>
        <v>-0.38486393466605429</v>
      </c>
      <c r="G137" s="13"/>
      <c r="H137" s="31">
        <f>SUM(H134:H136)</f>
        <v>84619.409999999974</v>
      </c>
      <c r="I137" s="13"/>
      <c r="J137" s="33">
        <f>IF(H$12=0,0,H137/H$12)</f>
        <v>0.48414585765188645</v>
      </c>
      <c r="K137" s="16"/>
      <c r="L137" s="31">
        <f>+D137-H137</f>
        <v>-144601.07</v>
      </c>
      <c r="M137" s="16"/>
      <c r="N137" s="33">
        <f>IF(H137=0,0,L137/H137)</f>
        <v>-1.7088404421633294</v>
      </c>
      <c r="O137" s="25"/>
      <c r="P137" s="31">
        <f>SUM(P134:P136)</f>
        <v>-59981.660000000033</v>
      </c>
      <c r="Q137" s="13"/>
      <c r="R137" s="33">
        <f>IF(P$12=0,0,P137/P$12)</f>
        <v>-0.38486393466605429</v>
      </c>
      <c r="S137" s="13"/>
      <c r="T137" s="31">
        <f>SUM(T134:T136)</f>
        <v>84619.409999999974</v>
      </c>
      <c r="U137" s="13"/>
      <c r="V137" s="33">
        <f>IF(T$12=0,0,T137/T$12)</f>
        <v>0.48414585765188645</v>
      </c>
      <c r="W137" s="16"/>
      <c r="X137" s="31">
        <f>+P137-T137</f>
        <v>-144601.07</v>
      </c>
      <c r="Y137" s="16"/>
      <c r="Z137" s="33">
        <f>IF(T137=0,0,X137/T137)</f>
        <v>-1.7088404421633294</v>
      </c>
    </row>
    <row r="138" spans="1:26" ht="15" thickTop="1" x14ac:dyDescent="0.3">
      <c r="A138" s="9"/>
      <c r="C138" s="9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3">
      <c r="A139" s="9"/>
      <c r="B139" s="59">
        <v>44462.666924224533</v>
      </c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3">
      <c r="A140" s="9"/>
      <c r="B140" s="57" t="s">
        <v>56</v>
      </c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3">
      <c r="A141" s="9"/>
      <c r="B141" s="61"/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3"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","315", " - ", "Bookstore Retail")</f>
        <v>Department 315 - Bookstore Retail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124040.73</v>
      </c>
      <c r="E12" s="4"/>
      <c r="F12" s="11"/>
      <c r="G12" s="4"/>
      <c r="H12" s="4">
        <f>SUM(OSRRefH13x_0)</f>
        <v>147901.04999999996</v>
      </c>
      <c r="I12" s="4"/>
      <c r="J12" s="11"/>
      <c r="K12" s="4"/>
      <c r="L12" s="4">
        <f t="shared" ref="L12:L48" si="0">+D12-H12</f>
        <v>-23860.319999999963</v>
      </c>
      <c r="M12" s="4"/>
      <c r="N12" s="11">
        <f t="shared" ref="N12:N48" si="1">IF(H12=0,0,L12/H12)</f>
        <v>-0.16132623804901974</v>
      </c>
      <c r="O12" s="10"/>
      <c r="P12" s="4">
        <f>SUM(OSRRefP13x_0)</f>
        <v>124040.73</v>
      </c>
      <c r="Q12" s="4"/>
      <c r="R12" s="11"/>
      <c r="S12" s="4"/>
      <c r="T12" s="4">
        <f>SUM(OSRRefT13x_0)</f>
        <v>147901.04999999996</v>
      </c>
      <c r="U12" s="4"/>
      <c r="V12" s="11"/>
      <c r="W12" s="4"/>
      <c r="X12" s="4">
        <f t="shared" ref="X12:X48" si="2">+P12-T12</f>
        <v>-23860.319999999963</v>
      </c>
      <c r="Y12" s="4"/>
      <c r="Z12" s="11">
        <f t="shared" ref="Z12:Z48" si="3">IF(T12=0,0,X12/T12)</f>
        <v>-0.16132623804901974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--118177.59</f>
        <v>118177.59</v>
      </c>
      <c r="E13" s="3"/>
      <c r="F13" s="22"/>
      <c r="G13" s="3"/>
      <c r="H13" s="3">
        <f>-9603.06</f>
        <v>-9603.06</v>
      </c>
      <c r="I13" s="3"/>
      <c r="J13" s="22"/>
      <c r="K13" s="3"/>
      <c r="L13" s="3">
        <f t="shared" si="0"/>
        <v>127780.65</v>
      </c>
      <c r="M13" s="3"/>
      <c r="N13" s="22">
        <f t="shared" si="1"/>
        <v>-13.30624301004055</v>
      </c>
      <c r="O13" s="12"/>
      <c r="P13" s="3">
        <f>--118177.59</f>
        <v>118177.59</v>
      </c>
      <c r="Q13" s="3"/>
      <c r="R13" s="22"/>
      <c r="S13" s="3"/>
      <c r="T13" s="3">
        <f>-9603.06</f>
        <v>-9603.06</v>
      </c>
      <c r="U13" s="3"/>
      <c r="V13" s="22"/>
      <c r="W13" s="3"/>
      <c r="X13" s="3">
        <f t="shared" si="2"/>
        <v>127780.65</v>
      </c>
      <c r="Y13" s="3"/>
      <c r="Z13" s="22">
        <f t="shared" si="3"/>
        <v>-13.30624301004055</v>
      </c>
    </row>
    <row r="14" spans="1:26" s="24" customFormat="1" hidden="1" outlineLevel="1" x14ac:dyDescent="0.3">
      <c r="A14" s="50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 t="shared" ref="D14:D24" si="4">0</f>
        <v>0</v>
      </c>
      <c r="E14" s="3"/>
      <c r="F14" s="22"/>
      <c r="G14" s="3"/>
      <c r="H14" s="3">
        <f>--221.99</f>
        <v>221.99</v>
      </c>
      <c r="I14" s="3"/>
      <c r="J14" s="22"/>
      <c r="K14" s="3"/>
      <c r="L14" s="3">
        <f t="shared" si="0"/>
        <v>-221.99</v>
      </c>
      <c r="M14" s="3"/>
      <c r="N14" s="22">
        <f t="shared" si="1"/>
        <v>-1</v>
      </c>
      <c r="O14" s="12"/>
      <c r="P14" s="3">
        <f t="shared" ref="P14:P24" si="5">0</f>
        <v>0</v>
      </c>
      <c r="Q14" s="3"/>
      <c r="R14" s="22"/>
      <c r="S14" s="3"/>
      <c r="T14" s="3">
        <f>--221.99</f>
        <v>221.99</v>
      </c>
      <c r="U14" s="3"/>
      <c r="V14" s="22"/>
      <c r="W14" s="3"/>
      <c r="X14" s="3">
        <f t="shared" si="2"/>
        <v>-221.99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"4027", " - ", "TAXABLE SALES-SCHOOL SUPPLIES")</f>
        <v xml:space="preserve">          4027 - TAXABLE SALES-SCHOOL SUPPLIES</v>
      </c>
      <c r="C15" s="12"/>
      <c r="D15" s="3">
        <f t="shared" si="4"/>
        <v>0</v>
      </c>
      <c r="E15" s="3"/>
      <c r="F15" s="22"/>
      <c r="G15" s="3"/>
      <c r="H15" s="3">
        <f>--1653.17</f>
        <v>1653.17</v>
      </c>
      <c r="I15" s="3"/>
      <c r="J15" s="22"/>
      <c r="K15" s="3"/>
      <c r="L15" s="3">
        <f t="shared" si="0"/>
        <v>-1653.17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--1653.17</f>
        <v>1653.17</v>
      </c>
      <c r="U15" s="3"/>
      <c r="V15" s="22"/>
      <c r="W15" s="3"/>
      <c r="X15" s="3">
        <f t="shared" si="2"/>
        <v>-1653.17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"4028", " - ", "TAXABLE SALES-ART/TECH")</f>
        <v xml:space="preserve">          4028 - TAXABLE SALES-ART/TECH</v>
      </c>
      <c r="C16" s="12"/>
      <c r="D16" s="3">
        <f t="shared" si="4"/>
        <v>0</v>
      </c>
      <c r="E16" s="3"/>
      <c r="F16" s="22"/>
      <c r="G16" s="3"/>
      <c r="H16" s="3">
        <f>--19.85</f>
        <v>19.850000000000001</v>
      </c>
      <c r="I16" s="3"/>
      <c r="J16" s="22"/>
      <c r="K16" s="3"/>
      <c r="L16" s="3">
        <f t="shared" si="0"/>
        <v>-19.850000000000001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--19.85</f>
        <v>19.850000000000001</v>
      </c>
      <c r="U16" s="3"/>
      <c r="V16" s="22"/>
      <c r="W16" s="3"/>
      <c r="X16" s="3">
        <f t="shared" si="2"/>
        <v>-19.850000000000001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"4031", " - ", "TAXABLE SALES-FOOD")</f>
        <v xml:space="preserve">          4031 - TAXABLE SALES-FOOD</v>
      </c>
      <c r="C17" s="12"/>
      <c r="D17" s="3">
        <f t="shared" si="4"/>
        <v>0</v>
      </c>
      <c r="E17" s="3"/>
      <c r="F17" s="22"/>
      <c r="G17" s="3"/>
      <c r="H17" s="3">
        <f>--19.75</f>
        <v>19.75</v>
      </c>
      <c r="I17" s="3"/>
      <c r="J17" s="22"/>
      <c r="K17" s="3"/>
      <c r="L17" s="3">
        <f t="shared" si="0"/>
        <v>-19.75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--19.75</f>
        <v>19.75</v>
      </c>
      <c r="U17" s="3"/>
      <c r="V17" s="22"/>
      <c r="W17" s="3"/>
      <c r="X17" s="3">
        <f t="shared" si="2"/>
        <v>-19.75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"4034", " - ", "TAXABLE SALES-SODA")</f>
        <v xml:space="preserve">          4034 - TAXABLE SALES-SODA</v>
      </c>
      <c r="C18" s="12"/>
      <c r="D18" s="3">
        <f t="shared" si="4"/>
        <v>0</v>
      </c>
      <c r="E18" s="3"/>
      <c r="F18" s="22"/>
      <c r="G18" s="3"/>
      <c r="H18" s="3">
        <f>--6.78</f>
        <v>6.78</v>
      </c>
      <c r="I18" s="3"/>
      <c r="J18" s="22"/>
      <c r="K18" s="3"/>
      <c r="L18" s="3">
        <f t="shared" si="0"/>
        <v>-6.78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--6.78</f>
        <v>6.78</v>
      </c>
      <c r="U18" s="3"/>
      <c r="V18" s="22"/>
      <c r="W18" s="3"/>
      <c r="X18" s="3">
        <f t="shared" si="2"/>
        <v>-6.78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"4040", " - ", "TAXABLE SALES-LOGO CLOTHING")</f>
        <v xml:space="preserve">          4040 - TAXABLE SALES-LOGO CLOTHING</v>
      </c>
      <c r="C19" s="12"/>
      <c r="D19" s="3">
        <f t="shared" si="4"/>
        <v>0</v>
      </c>
      <c r="E19" s="3"/>
      <c r="F19" s="22"/>
      <c r="G19" s="3"/>
      <c r="H19" s="3">
        <f>--50380.6</f>
        <v>50380.6</v>
      </c>
      <c r="I19" s="3"/>
      <c r="J19" s="22"/>
      <c r="K19" s="3"/>
      <c r="L19" s="3">
        <f t="shared" si="0"/>
        <v>-50380.6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--50380.6</f>
        <v>50380.6</v>
      </c>
      <c r="U19" s="3"/>
      <c r="V19" s="22"/>
      <c r="W19" s="3"/>
      <c r="X19" s="3">
        <f t="shared" si="2"/>
        <v>-50380.6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"4041", " - ", "TAXABLE SALES-LOGO GIFTS")</f>
        <v xml:space="preserve">          4041 - TAXABLE SALES-LOGO GIFTS</v>
      </c>
      <c r="C20" s="12"/>
      <c r="D20" s="3">
        <f t="shared" si="4"/>
        <v>0</v>
      </c>
      <c r="E20" s="3"/>
      <c r="F20" s="22"/>
      <c r="G20" s="3"/>
      <c r="H20" s="3">
        <f>--15917.84</f>
        <v>15917.84</v>
      </c>
      <c r="I20" s="3"/>
      <c r="J20" s="22"/>
      <c r="K20" s="3"/>
      <c r="L20" s="3">
        <f t="shared" si="0"/>
        <v>-15917.84</v>
      </c>
      <c r="M20" s="3"/>
      <c r="N20" s="22">
        <f t="shared" si="1"/>
        <v>-1</v>
      </c>
      <c r="O20" s="12"/>
      <c r="P20" s="3">
        <f t="shared" si="5"/>
        <v>0</v>
      </c>
      <c r="Q20" s="3"/>
      <c r="R20" s="22"/>
      <c r="S20" s="3"/>
      <c r="T20" s="3">
        <f>--15917.84</f>
        <v>15917.84</v>
      </c>
      <c r="U20" s="3"/>
      <c r="V20" s="22"/>
      <c r="W20" s="3"/>
      <c r="X20" s="3">
        <f t="shared" si="2"/>
        <v>-15917.84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"4042", " - ", "TAXABLE SALES-EVERYDAY GIFTS")</f>
        <v xml:space="preserve">          4042 - TAXABLE SALES-EVERYDAY GIFTS</v>
      </c>
      <c r="C21" s="12"/>
      <c r="D21" s="3">
        <f t="shared" si="4"/>
        <v>0</v>
      </c>
      <c r="E21" s="3"/>
      <c r="F21" s="22"/>
      <c r="G21" s="3"/>
      <c r="H21" s="3">
        <f>--4154.05</f>
        <v>4154.05</v>
      </c>
      <c r="I21" s="3"/>
      <c r="J21" s="22"/>
      <c r="K21" s="3"/>
      <c r="L21" s="3">
        <f t="shared" si="0"/>
        <v>-4154.05</v>
      </c>
      <c r="M21" s="3"/>
      <c r="N21" s="22">
        <f t="shared" si="1"/>
        <v>-1</v>
      </c>
      <c r="O21" s="12"/>
      <c r="P21" s="3">
        <f t="shared" si="5"/>
        <v>0</v>
      </c>
      <c r="Q21" s="3"/>
      <c r="R21" s="22"/>
      <c r="S21" s="3"/>
      <c r="T21" s="3">
        <f>--4154.05</f>
        <v>4154.05</v>
      </c>
      <c r="U21" s="3"/>
      <c r="V21" s="22"/>
      <c r="W21" s="3"/>
      <c r="X21" s="3">
        <f t="shared" si="2"/>
        <v>-4154.05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"4043", " - ", "TAXABLE SALES-CARDS")</f>
        <v xml:space="preserve">          4043 - TAXABLE SALES-CARDS</v>
      </c>
      <c r="C22" s="12"/>
      <c r="D22" s="3">
        <f t="shared" si="4"/>
        <v>0</v>
      </c>
      <c r="E22" s="3"/>
      <c r="F22" s="22"/>
      <c r="G22" s="3"/>
      <c r="H22" s="3">
        <f>--187.37</f>
        <v>187.37</v>
      </c>
      <c r="I22" s="3"/>
      <c r="J22" s="22"/>
      <c r="K22" s="3"/>
      <c r="L22" s="3">
        <f t="shared" si="0"/>
        <v>-187.37</v>
      </c>
      <c r="M22" s="3"/>
      <c r="N22" s="22">
        <f t="shared" si="1"/>
        <v>-1</v>
      </c>
      <c r="O22" s="12"/>
      <c r="P22" s="3">
        <f t="shared" si="5"/>
        <v>0</v>
      </c>
      <c r="Q22" s="3"/>
      <c r="R22" s="22"/>
      <c r="S22" s="3"/>
      <c r="T22" s="3">
        <f>--187.37</f>
        <v>187.37</v>
      </c>
      <c r="U22" s="3"/>
      <c r="V22" s="22"/>
      <c r="W22" s="3"/>
      <c r="X22" s="3">
        <f t="shared" si="2"/>
        <v>-187.37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"4044", " - ", "TAXABLE SALES-ACCESSORIES")</f>
        <v xml:space="preserve">          4044 - TAXABLE SALES-ACCESSORIES</v>
      </c>
      <c r="C23" s="12"/>
      <c r="D23" s="3">
        <f t="shared" si="4"/>
        <v>0</v>
      </c>
      <c r="E23" s="3"/>
      <c r="F23" s="22"/>
      <c r="G23" s="3"/>
      <c r="H23" s="3">
        <f>--1503.2</f>
        <v>1503.2</v>
      </c>
      <c r="I23" s="3"/>
      <c r="J23" s="22"/>
      <c r="K23" s="3"/>
      <c r="L23" s="3">
        <f t="shared" si="0"/>
        <v>-1503.2</v>
      </c>
      <c r="M23" s="3"/>
      <c r="N23" s="22">
        <f t="shared" si="1"/>
        <v>-1</v>
      </c>
      <c r="O23" s="12"/>
      <c r="P23" s="3">
        <f t="shared" si="5"/>
        <v>0</v>
      </c>
      <c r="Q23" s="3"/>
      <c r="R23" s="22"/>
      <c r="S23" s="3"/>
      <c r="T23" s="3">
        <f>--1503.2</f>
        <v>1503.2</v>
      </c>
      <c r="U23" s="3"/>
      <c r="V23" s="22"/>
      <c r="W23" s="3"/>
      <c r="X23" s="3">
        <f t="shared" si="2"/>
        <v>-1503.2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"4045", " - ", "TAXABLE SALES-SPECIAL ORDERS")</f>
        <v xml:space="preserve">          4045 - TAXABLE SALES-SPECIAL ORDERS</v>
      </c>
      <c r="C24" s="12"/>
      <c r="D24" s="3">
        <f t="shared" si="4"/>
        <v>0</v>
      </c>
      <c r="E24" s="3"/>
      <c r="F24" s="22"/>
      <c r="G24" s="3"/>
      <c r="H24" s="3">
        <f>--43426.73</f>
        <v>43426.73</v>
      </c>
      <c r="I24" s="3"/>
      <c r="J24" s="22"/>
      <c r="K24" s="3"/>
      <c r="L24" s="3">
        <f t="shared" si="0"/>
        <v>-43426.73</v>
      </c>
      <c r="M24" s="3"/>
      <c r="N24" s="22">
        <f t="shared" si="1"/>
        <v>-1</v>
      </c>
      <c r="O24" s="12"/>
      <c r="P24" s="3">
        <f t="shared" si="5"/>
        <v>0</v>
      </c>
      <c r="Q24" s="3"/>
      <c r="R24" s="22"/>
      <c r="S24" s="3"/>
      <c r="T24" s="3">
        <f>--43426.73</f>
        <v>43426.73</v>
      </c>
      <c r="U24" s="3"/>
      <c r="V24" s="22"/>
      <c r="W24" s="3"/>
      <c r="X24" s="3">
        <f t="shared" si="2"/>
        <v>-43426.73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"4100", " - ", "NON-TAXABLE SALES")</f>
        <v xml:space="preserve">          4100 - NON-TAXABLE SALES</v>
      </c>
      <c r="C25" s="12"/>
      <c r="D25" s="3">
        <f>--9614.79</f>
        <v>9614.7900000000009</v>
      </c>
      <c r="E25" s="3"/>
      <c r="F25" s="22"/>
      <c r="G25" s="3"/>
      <c r="H25" s="3">
        <f>0</f>
        <v>0</v>
      </c>
      <c r="I25" s="3"/>
      <c r="J25" s="22"/>
      <c r="K25" s="3"/>
      <c r="L25" s="3">
        <f t="shared" si="0"/>
        <v>9614.7900000000009</v>
      </c>
      <c r="M25" s="3"/>
      <c r="N25" s="22">
        <f t="shared" si="1"/>
        <v>0</v>
      </c>
      <c r="O25" s="12"/>
      <c r="P25" s="3">
        <f>--9614.79</f>
        <v>9614.7900000000009</v>
      </c>
      <c r="Q25" s="3"/>
      <c r="R25" s="22"/>
      <c r="S25" s="3"/>
      <c r="T25" s="3">
        <f>0</f>
        <v>0</v>
      </c>
      <c r="U25" s="3"/>
      <c r="V25" s="22"/>
      <c r="W25" s="3"/>
      <c r="X25" s="3">
        <f t="shared" si="2"/>
        <v>9614.7900000000009</v>
      </c>
      <c r="Y25" s="3"/>
      <c r="Z25" s="22">
        <f t="shared" si="3"/>
        <v>0</v>
      </c>
    </row>
    <row r="26" spans="1:26" s="24" customFormat="1" hidden="1" outlineLevel="1" x14ac:dyDescent="0.3">
      <c r="A26" s="50"/>
      <c r="B26" s="12" t="str">
        <f>CONCATENATE("          ", "4126", " - ", "NON-TAXABLE SALES-WRITING INST")</f>
        <v xml:space="preserve">          4126 - NON-TAXABLE SALES-WRITING INST</v>
      </c>
      <c r="C26" s="12"/>
      <c r="D26" s="3">
        <f t="shared" ref="D26:D37" si="6">0</f>
        <v>0</v>
      </c>
      <c r="E26" s="3"/>
      <c r="F26" s="22"/>
      <c r="G26" s="3"/>
      <c r="H26" s="3">
        <f>--52.68</f>
        <v>52.68</v>
      </c>
      <c r="I26" s="3"/>
      <c r="J26" s="22"/>
      <c r="K26" s="3"/>
      <c r="L26" s="3">
        <f t="shared" si="0"/>
        <v>-52.68</v>
      </c>
      <c r="M26" s="3"/>
      <c r="N26" s="22">
        <f t="shared" si="1"/>
        <v>-1</v>
      </c>
      <c r="O26" s="12"/>
      <c r="P26" s="3">
        <f t="shared" ref="P26:P37" si="7">0</f>
        <v>0</v>
      </c>
      <c r="Q26" s="3"/>
      <c r="R26" s="22"/>
      <c r="S26" s="3"/>
      <c r="T26" s="3">
        <f>--52.68</f>
        <v>52.68</v>
      </c>
      <c r="U26" s="3"/>
      <c r="V26" s="22"/>
      <c r="W26" s="3"/>
      <c r="X26" s="3">
        <f t="shared" si="2"/>
        <v>-52.68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"4127", " - ", "NON-TAXABLE SALES-SCHOOL SUPPL")</f>
        <v xml:space="preserve">          4127 - NON-TAXABLE SALES-SCHOOL SUPPL</v>
      </c>
      <c r="C27" s="12"/>
      <c r="D27" s="3">
        <f t="shared" si="6"/>
        <v>0</v>
      </c>
      <c r="E27" s="3"/>
      <c r="F27" s="22"/>
      <c r="G27" s="3"/>
      <c r="H27" s="3">
        <f>--72.25</f>
        <v>72.25</v>
      </c>
      <c r="I27" s="3"/>
      <c r="J27" s="22"/>
      <c r="K27" s="3"/>
      <c r="L27" s="3">
        <f t="shared" si="0"/>
        <v>-72.25</v>
      </c>
      <c r="M27" s="3"/>
      <c r="N27" s="22">
        <f t="shared" si="1"/>
        <v>-1</v>
      </c>
      <c r="O27" s="12"/>
      <c r="P27" s="3">
        <f t="shared" si="7"/>
        <v>0</v>
      </c>
      <c r="Q27" s="3"/>
      <c r="R27" s="22"/>
      <c r="S27" s="3"/>
      <c r="T27" s="3">
        <f>--72.25</f>
        <v>72.25</v>
      </c>
      <c r="U27" s="3"/>
      <c r="V27" s="22"/>
      <c r="W27" s="3"/>
      <c r="X27" s="3">
        <f t="shared" si="2"/>
        <v>-72.25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"4131", " - ", "NON-TAXABLE SALES-FOOD")</f>
        <v xml:space="preserve">          4131 - NON-TAXABLE SALES-FOOD</v>
      </c>
      <c r="C28" s="12"/>
      <c r="D28" s="3">
        <f t="shared" si="6"/>
        <v>0</v>
      </c>
      <c r="E28" s="3"/>
      <c r="F28" s="22"/>
      <c r="G28" s="3"/>
      <c r="H28" s="3">
        <f>--257.93</f>
        <v>257.93</v>
      </c>
      <c r="I28" s="3"/>
      <c r="J28" s="22"/>
      <c r="K28" s="3"/>
      <c r="L28" s="3">
        <f t="shared" si="0"/>
        <v>-257.93</v>
      </c>
      <c r="M28" s="3"/>
      <c r="N28" s="22">
        <f t="shared" si="1"/>
        <v>-1</v>
      </c>
      <c r="O28" s="12"/>
      <c r="P28" s="3">
        <f t="shared" si="7"/>
        <v>0</v>
      </c>
      <c r="Q28" s="3"/>
      <c r="R28" s="22"/>
      <c r="S28" s="3"/>
      <c r="T28" s="3">
        <f>--257.93</f>
        <v>257.93</v>
      </c>
      <c r="U28" s="3"/>
      <c r="V28" s="22"/>
      <c r="W28" s="3"/>
      <c r="X28" s="3">
        <f t="shared" si="2"/>
        <v>-257.93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"4132", " - ", "NON-TAXABLE SALES-JUICE")</f>
        <v xml:space="preserve">          4132 - NON-TAXABLE SALES-JUICE</v>
      </c>
      <c r="C29" s="12"/>
      <c r="D29" s="3">
        <f t="shared" si="6"/>
        <v>0</v>
      </c>
      <c r="E29" s="3"/>
      <c r="F29" s="22"/>
      <c r="G29" s="3"/>
      <c r="H29" s="3">
        <f>--22.49</f>
        <v>22.49</v>
      </c>
      <c r="I29" s="3"/>
      <c r="J29" s="22"/>
      <c r="K29" s="3"/>
      <c r="L29" s="3">
        <f t="shared" si="0"/>
        <v>-22.49</v>
      </c>
      <c r="M29" s="3"/>
      <c r="N29" s="22">
        <f t="shared" si="1"/>
        <v>-1</v>
      </c>
      <c r="O29" s="12"/>
      <c r="P29" s="3">
        <f t="shared" si="7"/>
        <v>0</v>
      </c>
      <c r="Q29" s="3"/>
      <c r="R29" s="22"/>
      <c r="S29" s="3"/>
      <c r="T29" s="3">
        <f>--22.49</f>
        <v>22.49</v>
      </c>
      <c r="U29" s="3"/>
      <c r="V29" s="22"/>
      <c r="W29" s="3"/>
      <c r="X29" s="3">
        <f t="shared" si="2"/>
        <v>-22.49</v>
      </c>
      <c r="Y29" s="3"/>
      <c r="Z29" s="22">
        <f t="shared" si="3"/>
        <v>-1</v>
      </c>
    </row>
    <row r="30" spans="1:26" s="24" customFormat="1" hidden="1" outlineLevel="1" x14ac:dyDescent="0.3">
      <c r="A30" s="50"/>
      <c r="B30" s="12" t="str">
        <f>CONCATENATE("          ", "4133", " - ", "NON-TAXABLE SALES-CANDY")</f>
        <v xml:space="preserve">          4133 - NON-TAXABLE SALES-CANDY</v>
      </c>
      <c r="C30" s="12"/>
      <c r="D30" s="3">
        <f t="shared" si="6"/>
        <v>0</v>
      </c>
      <c r="E30" s="3"/>
      <c r="F30" s="22"/>
      <c r="G30" s="3"/>
      <c r="H30" s="3">
        <f>--68.28</f>
        <v>68.28</v>
      </c>
      <c r="I30" s="3"/>
      <c r="J30" s="22"/>
      <c r="K30" s="3"/>
      <c r="L30" s="3">
        <f t="shared" si="0"/>
        <v>-68.28</v>
      </c>
      <c r="M30" s="3"/>
      <c r="N30" s="22">
        <f t="shared" si="1"/>
        <v>-1</v>
      </c>
      <c r="O30" s="12"/>
      <c r="P30" s="3">
        <f t="shared" si="7"/>
        <v>0</v>
      </c>
      <c r="Q30" s="3"/>
      <c r="R30" s="22"/>
      <c r="S30" s="3"/>
      <c r="T30" s="3">
        <f>--68.28</f>
        <v>68.28</v>
      </c>
      <c r="U30" s="3"/>
      <c r="V30" s="22"/>
      <c r="W30" s="3"/>
      <c r="X30" s="3">
        <f t="shared" si="2"/>
        <v>-68.28</v>
      </c>
      <c r="Y30" s="3"/>
      <c r="Z30" s="22">
        <f t="shared" si="3"/>
        <v>-1</v>
      </c>
    </row>
    <row r="31" spans="1:26" s="24" customFormat="1" hidden="1" outlineLevel="1" x14ac:dyDescent="0.3">
      <c r="A31" s="50"/>
      <c r="B31" s="12" t="str">
        <f>CONCATENATE("          ", "4134", " - ", "NON-TAXABLE SALES-SODA")</f>
        <v xml:space="preserve">          4134 - NON-TAXABLE SALES-SODA</v>
      </c>
      <c r="C31" s="12"/>
      <c r="D31" s="3">
        <f t="shared" si="6"/>
        <v>0</v>
      </c>
      <c r="E31" s="3"/>
      <c r="F31" s="22"/>
      <c r="G31" s="3"/>
      <c r="H31" s="3">
        <f>--45.53</f>
        <v>45.53</v>
      </c>
      <c r="I31" s="3"/>
      <c r="J31" s="22"/>
      <c r="K31" s="3"/>
      <c r="L31" s="3">
        <f t="shared" si="0"/>
        <v>-45.53</v>
      </c>
      <c r="M31" s="3"/>
      <c r="N31" s="22">
        <f t="shared" si="1"/>
        <v>-1</v>
      </c>
      <c r="O31" s="12"/>
      <c r="P31" s="3">
        <f t="shared" si="7"/>
        <v>0</v>
      </c>
      <c r="Q31" s="3"/>
      <c r="R31" s="22"/>
      <c r="S31" s="3"/>
      <c r="T31" s="3">
        <f>--45.53</f>
        <v>45.53</v>
      </c>
      <c r="U31" s="3"/>
      <c r="V31" s="22"/>
      <c r="W31" s="3"/>
      <c r="X31" s="3">
        <f t="shared" si="2"/>
        <v>-45.53</v>
      </c>
      <c r="Y31" s="3"/>
      <c r="Z31" s="22">
        <f t="shared" si="3"/>
        <v>-1</v>
      </c>
    </row>
    <row r="32" spans="1:26" s="24" customFormat="1" hidden="1" outlineLevel="1" x14ac:dyDescent="0.3">
      <c r="A32" s="50"/>
      <c r="B32" s="12" t="str">
        <f>CONCATENATE("          ", "4137", " - ", "NON-TAXABLE SALES-WATER")</f>
        <v xml:space="preserve">          4137 - NON-TAXABLE SALES-WATER</v>
      </c>
      <c r="C32" s="12"/>
      <c r="D32" s="3">
        <f t="shared" si="6"/>
        <v>0</v>
      </c>
      <c r="E32" s="3"/>
      <c r="F32" s="22"/>
      <c r="G32" s="3"/>
      <c r="H32" s="3">
        <f>--59.25</f>
        <v>59.25</v>
      </c>
      <c r="I32" s="3"/>
      <c r="J32" s="22"/>
      <c r="K32" s="3"/>
      <c r="L32" s="3">
        <f t="shared" si="0"/>
        <v>-59.25</v>
      </c>
      <c r="M32" s="3"/>
      <c r="N32" s="22">
        <f t="shared" si="1"/>
        <v>-1</v>
      </c>
      <c r="O32" s="12"/>
      <c r="P32" s="3">
        <f t="shared" si="7"/>
        <v>0</v>
      </c>
      <c r="Q32" s="3"/>
      <c r="R32" s="22"/>
      <c r="S32" s="3"/>
      <c r="T32" s="3">
        <f>--59.25</f>
        <v>59.25</v>
      </c>
      <c r="U32" s="3"/>
      <c r="V32" s="22"/>
      <c r="W32" s="3"/>
      <c r="X32" s="3">
        <f t="shared" si="2"/>
        <v>-59.25</v>
      </c>
      <c r="Y32" s="3"/>
      <c r="Z32" s="22">
        <f t="shared" si="3"/>
        <v>-1</v>
      </c>
    </row>
    <row r="33" spans="1:26" s="24" customFormat="1" hidden="1" outlineLevel="1" x14ac:dyDescent="0.3">
      <c r="A33" s="50"/>
      <c r="B33" s="12" t="str">
        <f>CONCATENATE("          ", "4140", " - ", "NON-TAXABLE SALES-LOGO CLOTHIN")</f>
        <v xml:space="preserve">          4140 - NON-TAXABLE SALES-LOGO CLOTHIN</v>
      </c>
      <c r="C33" s="12"/>
      <c r="D33" s="3">
        <f t="shared" si="6"/>
        <v>0</v>
      </c>
      <c r="E33" s="3"/>
      <c r="F33" s="22"/>
      <c r="G33" s="3"/>
      <c r="H33" s="3">
        <f>--6777.78</f>
        <v>6777.78</v>
      </c>
      <c r="I33" s="3"/>
      <c r="J33" s="22"/>
      <c r="K33" s="3"/>
      <c r="L33" s="3">
        <f t="shared" si="0"/>
        <v>-6777.78</v>
      </c>
      <c r="M33" s="3"/>
      <c r="N33" s="22">
        <f t="shared" si="1"/>
        <v>-1</v>
      </c>
      <c r="O33" s="12"/>
      <c r="P33" s="3">
        <f t="shared" si="7"/>
        <v>0</v>
      </c>
      <c r="Q33" s="3"/>
      <c r="R33" s="22"/>
      <c r="S33" s="3"/>
      <c r="T33" s="3">
        <f>--6777.78</f>
        <v>6777.78</v>
      </c>
      <c r="U33" s="3"/>
      <c r="V33" s="22"/>
      <c r="W33" s="3"/>
      <c r="X33" s="3">
        <f t="shared" si="2"/>
        <v>-6777.78</v>
      </c>
      <c r="Y33" s="3"/>
      <c r="Z33" s="22">
        <f t="shared" si="3"/>
        <v>-1</v>
      </c>
    </row>
    <row r="34" spans="1:26" s="24" customFormat="1" hidden="1" outlineLevel="1" x14ac:dyDescent="0.3">
      <c r="A34" s="50"/>
      <c r="B34" s="12" t="str">
        <f>CONCATENATE("          ", "4141", " - ", "NON-TAXABLE SALES-LOGO GIFTS")</f>
        <v xml:space="preserve">          4141 - NON-TAXABLE SALES-LOGO GIFTS</v>
      </c>
      <c r="C34" s="12"/>
      <c r="D34" s="3">
        <f t="shared" si="6"/>
        <v>0</v>
      </c>
      <c r="E34" s="3"/>
      <c r="F34" s="22"/>
      <c r="G34" s="3"/>
      <c r="H34" s="3">
        <f>--1189.44</f>
        <v>1189.44</v>
      </c>
      <c r="I34" s="3"/>
      <c r="J34" s="22"/>
      <c r="K34" s="3"/>
      <c r="L34" s="3">
        <f t="shared" si="0"/>
        <v>-1189.44</v>
      </c>
      <c r="M34" s="3"/>
      <c r="N34" s="22">
        <f t="shared" si="1"/>
        <v>-1</v>
      </c>
      <c r="O34" s="12"/>
      <c r="P34" s="3">
        <f t="shared" si="7"/>
        <v>0</v>
      </c>
      <c r="Q34" s="3"/>
      <c r="R34" s="22"/>
      <c r="S34" s="3"/>
      <c r="T34" s="3">
        <f>--1189.44</f>
        <v>1189.44</v>
      </c>
      <c r="U34" s="3"/>
      <c r="V34" s="22"/>
      <c r="W34" s="3"/>
      <c r="X34" s="3">
        <f t="shared" si="2"/>
        <v>-1189.44</v>
      </c>
      <c r="Y34" s="3"/>
      <c r="Z34" s="22">
        <f t="shared" si="3"/>
        <v>-1</v>
      </c>
    </row>
    <row r="35" spans="1:26" s="24" customFormat="1" hidden="1" outlineLevel="1" x14ac:dyDescent="0.3">
      <c r="A35" s="50"/>
      <c r="B35" s="12" t="str">
        <f>CONCATENATE("          ", "4142", " - ", "NON-TAXABLE SALES-EVERYDAY GIF")</f>
        <v xml:space="preserve">          4142 - NON-TAXABLE SALES-EVERYDAY GIF</v>
      </c>
      <c r="C35" s="12"/>
      <c r="D35" s="3">
        <f t="shared" si="6"/>
        <v>0</v>
      </c>
      <c r="E35" s="3"/>
      <c r="F35" s="22"/>
      <c r="G35" s="3"/>
      <c r="H35" s="3">
        <f>--640.17</f>
        <v>640.16999999999996</v>
      </c>
      <c r="I35" s="3"/>
      <c r="J35" s="22"/>
      <c r="K35" s="3"/>
      <c r="L35" s="3">
        <f t="shared" si="0"/>
        <v>-640.16999999999996</v>
      </c>
      <c r="M35" s="3"/>
      <c r="N35" s="22">
        <f t="shared" si="1"/>
        <v>-1</v>
      </c>
      <c r="O35" s="12"/>
      <c r="P35" s="3">
        <f t="shared" si="7"/>
        <v>0</v>
      </c>
      <c r="Q35" s="3"/>
      <c r="R35" s="22"/>
      <c r="S35" s="3"/>
      <c r="T35" s="3">
        <f>--640.17</f>
        <v>640.16999999999996</v>
      </c>
      <c r="U35" s="3"/>
      <c r="V35" s="22"/>
      <c r="W35" s="3"/>
      <c r="X35" s="3">
        <f t="shared" si="2"/>
        <v>-640.16999999999996</v>
      </c>
      <c r="Y35" s="3"/>
      <c r="Z35" s="22">
        <f t="shared" si="3"/>
        <v>-1</v>
      </c>
    </row>
    <row r="36" spans="1:26" s="24" customFormat="1" hidden="1" outlineLevel="1" x14ac:dyDescent="0.3">
      <c r="A36" s="50"/>
      <c r="B36" s="12" t="str">
        <f>CONCATENATE("          ", "4144", " - ", "NON-TAXABLE SALES-ACCESSORIES")</f>
        <v xml:space="preserve">          4144 - NON-TAXABLE SALES-ACCESSORIES</v>
      </c>
      <c r="C36" s="12"/>
      <c r="D36" s="3">
        <f t="shared" si="6"/>
        <v>0</v>
      </c>
      <c r="E36" s="3"/>
      <c r="F36" s="22"/>
      <c r="G36" s="3"/>
      <c r="H36" s="3">
        <f>--47.85</f>
        <v>47.85</v>
      </c>
      <c r="I36" s="3"/>
      <c r="J36" s="22"/>
      <c r="K36" s="3"/>
      <c r="L36" s="3">
        <f t="shared" si="0"/>
        <v>-47.85</v>
      </c>
      <c r="M36" s="3"/>
      <c r="N36" s="22">
        <f t="shared" si="1"/>
        <v>-1</v>
      </c>
      <c r="O36" s="12"/>
      <c r="P36" s="3">
        <f t="shared" si="7"/>
        <v>0</v>
      </c>
      <c r="Q36" s="3"/>
      <c r="R36" s="22"/>
      <c r="S36" s="3"/>
      <c r="T36" s="3">
        <f>--47.85</f>
        <v>47.85</v>
      </c>
      <c r="U36" s="3"/>
      <c r="V36" s="22"/>
      <c r="W36" s="3"/>
      <c r="X36" s="3">
        <f t="shared" si="2"/>
        <v>-47.85</v>
      </c>
      <c r="Y36" s="3"/>
      <c r="Z36" s="22">
        <f t="shared" si="3"/>
        <v>-1</v>
      </c>
    </row>
    <row r="37" spans="1:26" s="24" customFormat="1" hidden="1" outlineLevel="1" x14ac:dyDescent="0.3">
      <c r="A37" s="50"/>
      <c r="B37" s="12" t="str">
        <f>CONCATENATE("          ", "4145", " - ", "NON-TAXABLE SALES-SPECIAL ORDE")</f>
        <v xml:space="preserve">          4145 - NON-TAXABLE SALES-SPECIAL ORDE</v>
      </c>
      <c r="C37" s="12"/>
      <c r="D37" s="3">
        <f t="shared" si="6"/>
        <v>0</v>
      </c>
      <c r="E37" s="3"/>
      <c r="F37" s="22"/>
      <c r="G37" s="3"/>
      <c r="H37" s="3">
        <f>--35489</f>
        <v>35489</v>
      </c>
      <c r="I37" s="3"/>
      <c r="J37" s="22"/>
      <c r="K37" s="3"/>
      <c r="L37" s="3">
        <f t="shared" si="0"/>
        <v>-35489</v>
      </c>
      <c r="M37" s="3"/>
      <c r="N37" s="22">
        <f t="shared" si="1"/>
        <v>-1</v>
      </c>
      <c r="O37" s="12"/>
      <c r="P37" s="3">
        <f t="shared" si="7"/>
        <v>0</v>
      </c>
      <c r="Q37" s="3"/>
      <c r="R37" s="22"/>
      <c r="S37" s="3"/>
      <c r="T37" s="3">
        <f>--35489</f>
        <v>35489</v>
      </c>
      <c r="U37" s="3"/>
      <c r="V37" s="22"/>
      <c r="W37" s="3"/>
      <c r="X37" s="3">
        <f t="shared" si="2"/>
        <v>-35489</v>
      </c>
      <c r="Y37" s="3"/>
      <c r="Z37" s="22">
        <f t="shared" si="3"/>
        <v>-1</v>
      </c>
    </row>
    <row r="38" spans="1:26" s="24" customFormat="1" hidden="1" outlineLevel="1" x14ac:dyDescent="0.3">
      <c r="A38" s="50"/>
      <c r="B38" s="12" t="str">
        <f>CONCATENATE("          ", "4200", " - ", "TAXABLE RETURNS")</f>
        <v xml:space="preserve">          4200 - TAXABLE RETURNS</v>
      </c>
      <c r="C38" s="12"/>
      <c r="D38" s="3">
        <f>-3631.8</f>
        <v>-3631.8</v>
      </c>
      <c r="E38" s="3"/>
      <c r="F38" s="22"/>
      <c r="G38" s="3"/>
      <c r="H38" s="3">
        <f>0</f>
        <v>0</v>
      </c>
      <c r="I38" s="3"/>
      <c r="J38" s="22"/>
      <c r="K38" s="3"/>
      <c r="L38" s="3">
        <f t="shared" si="0"/>
        <v>-3631.8</v>
      </c>
      <c r="M38" s="3"/>
      <c r="N38" s="22">
        <f t="shared" si="1"/>
        <v>0</v>
      </c>
      <c r="O38" s="12"/>
      <c r="P38" s="3">
        <f>-3631.8</f>
        <v>-3631.8</v>
      </c>
      <c r="Q38" s="3"/>
      <c r="R38" s="22"/>
      <c r="S38" s="3"/>
      <c r="T38" s="3">
        <f>0</f>
        <v>0</v>
      </c>
      <c r="U38" s="3"/>
      <c r="V38" s="22"/>
      <c r="W38" s="3"/>
      <c r="X38" s="3">
        <f t="shared" si="2"/>
        <v>-3631.8</v>
      </c>
      <c r="Y38" s="3"/>
      <c r="Z38" s="22">
        <f t="shared" si="3"/>
        <v>0</v>
      </c>
    </row>
    <row r="39" spans="1:26" s="24" customFormat="1" hidden="1" outlineLevel="1" x14ac:dyDescent="0.3">
      <c r="A39" s="50"/>
      <c r="B39" s="12" t="str">
        <f>CONCATENATE("          ", "4226", " - ", "SALES RETURN TAXABLE-WRITING I")</f>
        <v xml:space="preserve">          4226 - SALES RETURN TAXABLE-WRITING I</v>
      </c>
      <c r="C39" s="12"/>
      <c r="D39" s="3">
        <f t="shared" ref="D39:D44" si="8">0</f>
        <v>0</v>
      </c>
      <c r="E39" s="3"/>
      <c r="F39" s="22"/>
      <c r="G39" s="3"/>
      <c r="H39" s="3">
        <f>-6.38</f>
        <v>-6.38</v>
      </c>
      <c r="I39" s="3"/>
      <c r="J39" s="22"/>
      <c r="K39" s="3"/>
      <c r="L39" s="3">
        <f t="shared" si="0"/>
        <v>6.38</v>
      </c>
      <c r="M39" s="3"/>
      <c r="N39" s="22">
        <f t="shared" si="1"/>
        <v>-1</v>
      </c>
      <c r="O39" s="12"/>
      <c r="P39" s="3">
        <f t="shared" ref="P39:P44" si="9">0</f>
        <v>0</v>
      </c>
      <c r="Q39" s="3"/>
      <c r="R39" s="22"/>
      <c r="S39" s="3"/>
      <c r="T39" s="3">
        <f>-6.38</f>
        <v>-6.38</v>
      </c>
      <c r="U39" s="3"/>
      <c r="V39" s="22"/>
      <c r="W39" s="3"/>
      <c r="X39" s="3">
        <f t="shared" si="2"/>
        <v>6.38</v>
      </c>
      <c r="Y39" s="3"/>
      <c r="Z39" s="22">
        <f t="shared" si="3"/>
        <v>-1</v>
      </c>
    </row>
    <row r="40" spans="1:26" s="24" customFormat="1" hidden="1" outlineLevel="1" x14ac:dyDescent="0.3">
      <c r="A40" s="50"/>
      <c r="B40" s="12" t="str">
        <f>CONCATENATE("          ", "4227", " - ", "SALES RETURN TAXABLE-SCHOOL SU")</f>
        <v xml:space="preserve">          4227 - SALES RETURN TAXABLE-SCHOOL SU</v>
      </c>
      <c r="C40" s="12"/>
      <c r="D40" s="3">
        <f t="shared" si="8"/>
        <v>0</v>
      </c>
      <c r="E40" s="3"/>
      <c r="F40" s="22"/>
      <c r="G40" s="3"/>
      <c r="H40" s="3">
        <f>-26.77</f>
        <v>-26.77</v>
      </c>
      <c r="I40" s="3"/>
      <c r="J40" s="22"/>
      <c r="K40" s="3"/>
      <c r="L40" s="3">
        <f t="shared" si="0"/>
        <v>26.77</v>
      </c>
      <c r="M40" s="3"/>
      <c r="N40" s="22">
        <f t="shared" si="1"/>
        <v>-1</v>
      </c>
      <c r="O40" s="12"/>
      <c r="P40" s="3">
        <f t="shared" si="9"/>
        <v>0</v>
      </c>
      <c r="Q40" s="3"/>
      <c r="R40" s="22"/>
      <c r="S40" s="3"/>
      <c r="T40" s="3">
        <f>-26.77</f>
        <v>-26.77</v>
      </c>
      <c r="U40" s="3"/>
      <c r="V40" s="22"/>
      <c r="W40" s="3"/>
      <c r="X40" s="3">
        <f t="shared" si="2"/>
        <v>26.77</v>
      </c>
      <c r="Y40" s="3"/>
      <c r="Z40" s="22">
        <f t="shared" si="3"/>
        <v>-1</v>
      </c>
    </row>
    <row r="41" spans="1:26" s="24" customFormat="1" hidden="1" outlineLevel="1" x14ac:dyDescent="0.3">
      <c r="A41" s="50"/>
      <c r="B41" s="12" t="str">
        <f>CONCATENATE("          ", "4240", " - ", "SALES RETURN TAXABLE-LOGO CLOT")</f>
        <v xml:space="preserve">          4240 - SALES RETURN TAXABLE-LOGO CLOT</v>
      </c>
      <c r="C41" s="12"/>
      <c r="D41" s="3">
        <f t="shared" si="8"/>
        <v>0</v>
      </c>
      <c r="E41" s="3"/>
      <c r="F41" s="22"/>
      <c r="G41" s="3"/>
      <c r="H41" s="3">
        <f>-2618.45</f>
        <v>-2618.4499999999998</v>
      </c>
      <c r="I41" s="3"/>
      <c r="J41" s="22"/>
      <c r="K41" s="3"/>
      <c r="L41" s="3">
        <f t="shared" si="0"/>
        <v>2618.4499999999998</v>
      </c>
      <c r="M41" s="3"/>
      <c r="N41" s="22">
        <f t="shared" si="1"/>
        <v>-1</v>
      </c>
      <c r="O41" s="12"/>
      <c r="P41" s="3">
        <f t="shared" si="9"/>
        <v>0</v>
      </c>
      <c r="Q41" s="3"/>
      <c r="R41" s="22"/>
      <c r="S41" s="3"/>
      <c r="T41" s="3">
        <f>-2618.45</f>
        <v>-2618.4499999999998</v>
      </c>
      <c r="U41" s="3"/>
      <c r="V41" s="22"/>
      <c r="W41" s="3"/>
      <c r="X41" s="3">
        <f t="shared" si="2"/>
        <v>2618.4499999999998</v>
      </c>
      <c r="Y41" s="3"/>
      <c r="Z41" s="22">
        <f t="shared" si="3"/>
        <v>-1</v>
      </c>
    </row>
    <row r="42" spans="1:26" s="24" customFormat="1" hidden="1" outlineLevel="1" x14ac:dyDescent="0.3">
      <c r="A42" s="50"/>
      <c r="B42" s="12" t="str">
        <f>CONCATENATE("          ", "4241", " - ", "SALES RETURN TAXABLE-LOGO GIFT")</f>
        <v xml:space="preserve">          4241 - SALES RETURN TAXABLE-LOGO GIFT</v>
      </c>
      <c r="C42" s="12"/>
      <c r="D42" s="3">
        <f t="shared" si="8"/>
        <v>0</v>
      </c>
      <c r="E42" s="3"/>
      <c r="F42" s="22"/>
      <c r="G42" s="3"/>
      <c r="H42" s="3">
        <f>-308.13</f>
        <v>-308.13</v>
      </c>
      <c r="I42" s="3"/>
      <c r="J42" s="22"/>
      <c r="K42" s="3"/>
      <c r="L42" s="3">
        <f t="shared" si="0"/>
        <v>308.13</v>
      </c>
      <c r="M42" s="3"/>
      <c r="N42" s="22">
        <f t="shared" si="1"/>
        <v>-1</v>
      </c>
      <c r="O42" s="12"/>
      <c r="P42" s="3">
        <f t="shared" si="9"/>
        <v>0</v>
      </c>
      <c r="Q42" s="3"/>
      <c r="R42" s="22"/>
      <c r="S42" s="3"/>
      <c r="T42" s="3">
        <f>-308.13</f>
        <v>-308.13</v>
      </c>
      <c r="U42" s="3"/>
      <c r="V42" s="22"/>
      <c r="W42" s="3"/>
      <c r="X42" s="3">
        <f t="shared" si="2"/>
        <v>308.13</v>
      </c>
      <c r="Y42" s="3"/>
      <c r="Z42" s="22">
        <f t="shared" si="3"/>
        <v>-1</v>
      </c>
    </row>
    <row r="43" spans="1:26" s="24" customFormat="1" hidden="1" outlineLevel="1" x14ac:dyDescent="0.3">
      <c r="A43" s="50"/>
      <c r="B43" s="12" t="str">
        <f>CONCATENATE("          ", "4242", " - ", "SALES RETURN TAXABLE-EVERYDAY")</f>
        <v xml:space="preserve">          4242 - SALES RETURN TAXABLE-EVERYDAY</v>
      </c>
      <c r="C43" s="12"/>
      <c r="D43" s="3">
        <f t="shared" si="8"/>
        <v>0</v>
      </c>
      <c r="E43" s="3"/>
      <c r="F43" s="22"/>
      <c r="G43" s="3"/>
      <c r="H43" s="3">
        <f>-105.1</f>
        <v>-105.1</v>
      </c>
      <c r="I43" s="3"/>
      <c r="J43" s="22"/>
      <c r="K43" s="3"/>
      <c r="L43" s="3">
        <f t="shared" si="0"/>
        <v>105.1</v>
      </c>
      <c r="M43" s="3"/>
      <c r="N43" s="22">
        <f t="shared" si="1"/>
        <v>-1</v>
      </c>
      <c r="O43" s="12"/>
      <c r="P43" s="3">
        <f t="shared" si="9"/>
        <v>0</v>
      </c>
      <c r="Q43" s="3"/>
      <c r="R43" s="22"/>
      <c r="S43" s="3"/>
      <c r="T43" s="3">
        <f>-105.1</f>
        <v>-105.1</v>
      </c>
      <c r="U43" s="3"/>
      <c r="V43" s="22"/>
      <c r="W43" s="3"/>
      <c r="X43" s="3">
        <f t="shared" si="2"/>
        <v>105.1</v>
      </c>
      <c r="Y43" s="3"/>
      <c r="Z43" s="22">
        <f t="shared" si="3"/>
        <v>-1</v>
      </c>
    </row>
    <row r="44" spans="1:26" s="24" customFormat="1" hidden="1" outlineLevel="1" x14ac:dyDescent="0.3">
      <c r="A44" s="50"/>
      <c r="B44" s="12" t="str">
        <f>CONCATENATE("          ", "4245", " - ", "SALES RETURN TAXABLE-SPECIAL O")</f>
        <v xml:space="preserve">          4245 - SALES RETURN TAXABLE-SPECIAL O</v>
      </c>
      <c r="C44" s="12"/>
      <c r="D44" s="3">
        <f t="shared" si="8"/>
        <v>0</v>
      </c>
      <c r="E44" s="3"/>
      <c r="F44" s="22"/>
      <c r="G44" s="3"/>
      <c r="H44" s="3">
        <f>-1114</f>
        <v>-1114</v>
      </c>
      <c r="I44" s="3"/>
      <c r="J44" s="22"/>
      <c r="K44" s="3"/>
      <c r="L44" s="3">
        <f t="shared" si="0"/>
        <v>1114</v>
      </c>
      <c r="M44" s="3"/>
      <c r="N44" s="22">
        <f t="shared" si="1"/>
        <v>-1</v>
      </c>
      <c r="O44" s="12"/>
      <c r="P44" s="3">
        <f t="shared" si="9"/>
        <v>0</v>
      </c>
      <c r="Q44" s="3"/>
      <c r="R44" s="22"/>
      <c r="S44" s="3"/>
      <c r="T44" s="3">
        <f>-1114</f>
        <v>-1114</v>
      </c>
      <c r="U44" s="3"/>
      <c r="V44" s="22"/>
      <c r="W44" s="3"/>
      <c r="X44" s="3">
        <f t="shared" si="2"/>
        <v>1114</v>
      </c>
      <c r="Y44" s="3"/>
      <c r="Z44" s="22">
        <f t="shared" si="3"/>
        <v>-1</v>
      </c>
    </row>
    <row r="45" spans="1:26" s="24" customFormat="1" hidden="1" outlineLevel="1" x14ac:dyDescent="0.3">
      <c r="A45" s="50"/>
      <c r="B45" s="12" t="str">
        <f>CONCATENATE("          ", "4300", " - ", "NON-TAX RETURNS")</f>
        <v xml:space="preserve">          4300 - NON-TAX RETURNS</v>
      </c>
      <c r="C45" s="12"/>
      <c r="D45" s="3">
        <f>-119.85</f>
        <v>-119.85</v>
      </c>
      <c r="E45" s="3"/>
      <c r="F45" s="22"/>
      <c r="G45" s="3"/>
      <c r="H45" s="3">
        <f>0</f>
        <v>0</v>
      </c>
      <c r="I45" s="3"/>
      <c r="J45" s="22"/>
      <c r="K45" s="3"/>
      <c r="L45" s="3">
        <f t="shared" si="0"/>
        <v>-119.85</v>
      </c>
      <c r="M45" s="3"/>
      <c r="N45" s="22">
        <f t="shared" si="1"/>
        <v>0</v>
      </c>
      <c r="O45" s="12"/>
      <c r="P45" s="3">
        <f>-119.85</f>
        <v>-119.85</v>
      </c>
      <c r="Q45" s="3"/>
      <c r="R45" s="22"/>
      <c r="S45" s="3"/>
      <c r="T45" s="3">
        <f>0</f>
        <v>0</v>
      </c>
      <c r="U45" s="3"/>
      <c r="V45" s="22"/>
      <c r="W45" s="3"/>
      <c r="X45" s="3">
        <f t="shared" si="2"/>
        <v>-119.85</v>
      </c>
      <c r="Y45" s="3"/>
      <c r="Z45" s="22">
        <f t="shared" si="3"/>
        <v>0</v>
      </c>
    </row>
    <row r="46" spans="1:26" s="24" customFormat="1" hidden="1" outlineLevel="1" x14ac:dyDescent="0.3">
      <c r="A46" s="50"/>
      <c r="B46" s="12" t="str">
        <f>CONCATENATE("          ", "4340", " - ", "SALES RETURN NON TAXABLE-LOGO")</f>
        <v xml:space="preserve">          4340 - SALES RETURN NON TAXABLE-LOGO</v>
      </c>
      <c r="C46" s="12"/>
      <c r="D46" s="3">
        <f t="shared" ref="D46:D48" si="10">0</f>
        <v>0</v>
      </c>
      <c r="E46" s="3"/>
      <c r="F46" s="22"/>
      <c r="G46" s="3"/>
      <c r="H46" s="3">
        <f>-434.24</f>
        <v>-434.24</v>
      </c>
      <c r="I46" s="3"/>
      <c r="J46" s="22"/>
      <c r="K46" s="3"/>
      <c r="L46" s="3">
        <f t="shared" si="0"/>
        <v>434.24</v>
      </c>
      <c r="M46" s="3"/>
      <c r="N46" s="22">
        <f t="shared" si="1"/>
        <v>-1</v>
      </c>
      <c r="O46" s="12"/>
      <c r="P46" s="3">
        <f t="shared" ref="P46:P48" si="11">0</f>
        <v>0</v>
      </c>
      <c r="Q46" s="3"/>
      <c r="R46" s="22"/>
      <c r="S46" s="3"/>
      <c r="T46" s="3">
        <f>-434.24</f>
        <v>-434.24</v>
      </c>
      <c r="U46" s="3"/>
      <c r="V46" s="22"/>
      <c r="W46" s="3"/>
      <c r="X46" s="3">
        <f t="shared" si="2"/>
        <v>434.24</v>
      </c>
      <c r="Y46" s="3"/>
      <c r="Z46" s="22">
        <f t="shared" si="3"/>
        <v>-1</v>
      </c>
    </row>
    <row r="47" spans="1:26" s="24" customFormat="1" hidden="1" outlineLevel="1" x14ac:dyDescent="0.3">
      <c r="A47" s="50"/>
      <c r="B47" s="12" t="str">
        <f>CONCATENATE("          ", "4341", " - ", "SALES RETURN NON TAXABLE-LOGO")</f>
        <v xml:space="preserve">          4341 - SALES RETURN NON TAXABLE-LOGO</v>
      </c>
      <c r="C47" s="12"/>
      <c r="D47" s="3">
        <f t="shared" si="10"/>
        <v>0</v>
      </c>
      <c r="E47" s="3"/>
      <c r="F47" s="22"/>
      <c r="G47" s="3"/>
      <c r="H47" s="3">
        <f>-16.95</f>
        <v>-16.95</v>
      </c>
      <c r="I47" s="3"/>
      <c r="J47" s="22"/>
      <c r="K47" s="3"/>
      <c r="L47" s="3">
        <f t="shared" si="0"/>
        <v>16.95</v>
      </c>
      <c r="M47" s="3"/>
      <c r="N47" s="22">
        <f t="shared" si="1"/>
        <v>-1</v>
      </c>
      <c r="O47" s="12"/>
      <c r="P47" s="3">
        <f t="shared" si="11"/>
        <v>0</v>
      </c>
      <c r="Q47" s="3"/>
      <c r="R47" s="22"/>
      <c r="S47" s="3"/>
      <c r="T47" s="3">
        <f>-16.95</f>
        <v>-16.95</v>
      </c>
      <c r="U47" s="3"/>
      <c r="V47" s="22"/>
      <c r="W47" s="3"/>
      <c r="X47" s="3">
        <f t="shared" si="2"/>
        <v>16.95</v>
      </c>
      <c r="Y47" s="3"/>
      <c r="Z47" s="22">
        <f t="shared" si="3"/>
        <v>-1</v>
      </c>
    </row>
    <row r="48" spans="1:26" s="24" customFormat="1" hidden="1" outlineLevel="1" x14ac:dyDescent="0.3">
      <c r="A48" s="50"/>
      <c r="B48" s="12" t="str">
        <f>CONCATENATE("          ", "4342", " - ", "SALES RETURN NON TAXABLE-EVERY")</f>
        <v xml:space="preserve">          4342 - SALES RETURN NON TAXABLE-EVERY</v>
      </c>
      <c r="C48" s="12"/>
      <c r="D48" s="3">
        <f t="shared" si="10"/>
        <v>0</v>
      </c>
      <c r="E48" s="3"/>
      <c r="F48" s="22"/>
      <c r="G48" s="3"/>
      <c r="H48" s="3">
        <f>-79.85</f>
        <v>-79.849999999999994</v>
      </c>
      <c r="I48" s="3"/>
      <c r="J48" s="22"/>
      <c r="K48" s="3"/>
      <c r="L48" s="3">
        <f t="shared" si="0"/>
        <v>79.849999999999994</v>
      </c>
      <c r="M48" s="3"/>
      <c r="N48" s="22">
        <f t="shared" si="1"/>
        <v>-1</v>
      </c>
      <c r="O48" s="12"/>
      <c r="P48" s="3">
        <f t="shared" si="11"/>
        <v>0</v>
      </c>
      <c r="Q48" s="3"/>
      <c r="R48" s="22"/>
      <c r="S48" s="3"/>
      <c r="T48" s="3">
        <f>-79.85</f>
        <v>-79.849999999999994</v>
      </c>
      <c r="U48" s="3"/>
      <c r="V48" s="22"/>
      <c r="W48" s="3"/>
      <c r="X48" s="3">
        <f t="shared" si="2"/>
        <v>79.849999999999994</v>
      </c>
      <c r="Y48" s="3"/>
      <c r="Z48" s="22">
        <f t="shared" si="3"/>
        <v>-1</v>
      </c>
    </row>
    <row r="49" spans="1:26" x14ac:dyDescent="0.3">
      <c r="A49" s="9"/>
      <c r="B49" s="10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collapsed="1" x14ac:dyDescent="0.3">
      <c r="A50" s="10"/>
      <c r="B50" s="25" t="s">
        <v>256</v>
      </c>
      <c r="C50" s="10"/>
      <c r="D50" s="4">
        <f>SUM(OSRRefD16x_0)</f>
        <v>66737.360000000015</v>
      </c>
      <c r="E50" s="4"/>
      <c r="F50" s="11">
        <f t="shared" ref="F50:F66" si="12">IF(D$12=0,0,D50/D$12)</f>
        <v>0.53802779135530743</v>
      </c>
      <c r="G50" s="4"/>
      <c r="H50" s="4">
        <f>SUM(OSRRefH16x_0)</f>
        <v>100169.94</v>
      </c>
      <c r="I50" s="4"/>
      <c r="J50" s="11">
        <f t="shared" ref="J50:J66" si="13">IF(H$12=0,0,H50/H$12)</f>
        <v>0.67727673332947957</v>
      </c>
      <c r="K50" s="4"/>
      <c r="L50" s="4">
        <f t="shared" ref="L50:L66" si="14">+D50-H50</f>
        <v>-33432.579999999987</v>
      </c>
      <c r="M50" s="4"/>
      <c r="N50" s="11">
        <f t="shared" ref="N50:N66" si="15">IF(H50=0,0,L50/H50)</f>
        <v>-0.33375861061711715</v>
      </c>
      <c r="O50" s="10"/>
      <c r="P50" s="4">
        <f>SUM(OSRRefP16x_0)</f>
        <v>66737.360000000015</v>
      </c>
      <c r="Q50" s="4"/>
      <c r="R50" s="11">
        <f t="shared" ref="R50:R66" si="16">IF(P$12=0,0,P50/P$12)</f>
        <v>0.53802779135530743</v>
      </c>
      <c r="S50" s="4"/>
      <c r="T50" s="4">
        <f>SUM(OSRRefT16x_0)</f>
        <v>100169.94</v>
      </c>
      <c r="U50" s="4"/>
      <c r="V50" s="11">
        <f t="shared" ref="V50:V66" si="17">IF(T$12=0,0,T50/T$12)</f>
        <v>0.67727673332947957</v>
      </c>
      <c r="W50" s="4"/>
      <c r="X50" s="4">
        <f t="shared" ref="X50:X66" si="18">+P50-T50</f>
        <v>-33432.579999999987</v>
      </c>
      <c r="Y50" s="4"/>
      <c r="Z50" s="11">
        <f t="shared" ref="Z50:Z66" si="19">IF(T50=0,0,X50/T50)</f>
        <v>-0.33375861061711715</v>
      </c>
    </row>
    <row r="51" spans="1:26" s="24" customFormat="1" hidden="1" outlineLevel="1" x14ac:dyDescent="0.3">
      <c r="A51" s="50"/>
      <c r="B51" s="12" t="str">
        <f>CONCATENATE("          ", "5000", " - ", "PURCHASES @ COST")</f>
        <v xml:space="preserve">          5000 - PURCHASES @ COST</v>
      </c>
      <c r="C51" s="12"/>
      <c r="D51" s="3">
        <v>80555.63</v>
      </c>
      <c r="E51" s="3"/>
      <c r="F51" s="22">
        <f t="shared" si="12"/>
        <v>0.64942886098783847</v>
      </c>
      <c r="G51" s="3"/>
      <c r="H51" s="3"/>
      <c r="I51" s="3"/>
      <c r="J51" s="22">
        <f t="shared" si="13"/>
        <v>0</v>
      </c>
      <c r="K51" s="3"/>
      <c r="L51" s="3">
        <f t="shared" si="14"/>
        <v>80555.63</v>
      </c>
      <c r="M51" s="3"/>
      <c r="N51" s="22">
        <f t="shared" si="15"/>
        <v>0</v>
      </c>
      <c r="O51" s="12"/>
      <c r="P51" s="3">
        <v>80555.63</v>
      </c>
      <c r="Q51" s="3"/>
      <c r="R51" s="22">
        <f t="shared" si="16"/>
        <v>0.64942886098783847</v>
      </c>
      <c r="S51" s="3"/>
      <c r="T51" s="3"/>
      <c r="U51" s="3"/>
      <c r="V51" s="22">
        <f t="shared" si="17"/>
        <v>0</v>
      </c>
      <c r="W51" s="3"/>
      <c r="X51" s="3">
        <f t="shared" si="18"/>
        <v>80555.63</v>
      </c>
      <c r="Y51" s="3"/>
      <c r="Z51" s="22">
        <f t="shared" si="19"/>
        <v>0</v>
      </c>
    </row>
    <row r="52" spans="1:26" s="24" customFormat="1" hidden="1" outlineLevel="1" x14ac:dyDescent="0.3">
      <c r="A52" s="50"/>
      <c r="B52" s="12" t="str">
        <f>CONCATENATE("          ", "5027", " - ", "PURCHASES @ COST-SCHOOL SUPPLI")</f>
        <v xml:space="preserve">          5027 - PURCHASES @ COST-SCHOOL SUPPLI</v>
      </c>
      <c r="C52" s="12"/>
      <c r="D52" s="3"/>
      <c r="E52" s="3"/>
      <c r="F52" s="22">
        <f t="shared" si="12"/>
        <v>0</v>
      </c>
      <c r="G52" s="3"/>
      <c r="H52" s="3">
        <v>8503.4</v>
      </c>
      <c r="I52" s="3"/>
      <c r="J52" s="22">
        <f t="shared" si="13"/>
        <v>5.749384470225196E-2</v>
      </c>
      <c r="K52" s="3"/>
      <c r="L52" s="3">
        <f t="shared" si="14"/>
        <v>-8503.4</v>
      </c>
      <c r="M52" s="3"/>
      <c r="N52" s="22">
        <f t="shared" si="15"/>
        <v>-1</v>
      </c>
      <c r="O52" s="12"/>
      <c r="P52" s="3"/>
      <c r="Q52" s="3"/>
      <c r="R52" s="22">
        <f t="shared" si="16"/>
        <v>0</v>
      </c>
      <c r="S52" s="3"/>
      <c r="T52" s="3">
        <v>8503.4</v>
      </c>
      <c r="U52" s="3"/>
      <c r="V52" s="22">
        <f t="shared" si="17"/>
        <v>5.749384470225196E-2</v>
      </c>
      <c r="W52" s="3"/>
      <c r="X52" s="3">
        <f t="shared" si="18"/>
        <v>-8503.4</v>
      </c>
      <c r="Y52" s="3"/>
      <c r="Z52" s="22">
        <f t="shared" si="19"/>
        <v>-1</v>
      </c>
    </row>
    <row r="53" spans="1:26" s="24" customFormat="1" hidden="1" outlineLevel="1" x14ac:dyDescent="0.3">
      <c r="A53" s="50"/>
      <c r="B53" s="12" t="str">
        <f>CONCATENATE("          ", "5040", " - ", "PURCHASES @ COST-LOGO CLOTHING")</f>
        <v xml:space="preserve">          5040 - PURCHASES @ COST-LOGO CLOTHING</v>
      </c>
      <c r="C53" s="12"/>
      <c r="D53" s="3">
        <v>0</v>
      </c>
      <c r="E53" s="3"/>
      <c r="F53" s="22">
        <f t="shared" si="12"/>
        <v>0</v>
      </c>
      <c r="G53" s="3"/>
      <c r="H53" s="3">
        <v>1723.07</v>
      </c>
      <c r="I53" s="3"/>
      <c r="J53" s="22">
        <f t="shared" si="13"/>
        <v>1.1650153937379082E-2</v>
      </c>
      <c r="K53" s="3"/>
      <c r="L53" s="3">
        <f t="shared" si="14"/>
        <v>-1723.07</v>
      </c>
      <c r="M53" s="3"/>
      <c r="N53" s="22">
        <f t="shared" si="15"/>
        <v>-1</v>
      </c>
      <c r="O53" s="12"/>
      <c r="P53" s="3">
        <v>0</v>
      </c>
      <c r="Q53" s="3"/>
      <c r="R53" s="22">
        <f t="shared" si="16"/>
        <v>0</v>
      </c>
      <c r="S53" s="3"/>
      <c r="T53" s="3">
        <v>1723.07</v>
      </c>
      <c r="U53" s="3"/>
      <c r="V53" s="22">
        <f t="shared" si="17"/>
        <v>1.1650153937379082E-2</v>
      </c>
      <c r="W53" s="3"/>
      <c r="X53" s="3">
        <f t="shared" si="18"/>
        <v>-1723.07</v>
      </c>
      <c r="Y53" s="3"/>
      <c r="Z53" s="22">
        <f t="shared" si="19"/>
        <v>-1</v>
      </c>
    </row>
    <row r="54" spans="1:26" s="24" customFormat="1" hidden="1" outlineLevel="1" x14ac:dyDescent="0.3">
      <c r="A54" s="50"/>
      <c r="B54" s="12" t="str">
        <f>CONCATENATE("          ", "5041", " - ", "PURCHASES @ COST-LOGO GIFTS")</f>
        <v xml:space="preserve">          5041 - PURCHASES @ COST-LOGO GIFTS</v>
      </c>
      <c r="C54" s="12"/>
      <c r="D54" s="3">
        <v>0</v>
      </c>
      <c r="E54" s="3"/>
      <c r="F54" s="22">
        <f t="shared" si="12"/>
        <v>0</v>
      </c>
      <c r="G54" s="3"/>
      <c r="H54" s="3">
        <v>-713.75</v>
      </c>
      <c r="I54" s="3"/>
      <c r="J54" s="22">
        <f t="shared" si="13"/>
        <v>-4.825861614910781E-3</v>
      </c>
      <c r="K54" s="3"/>
      <c r="L54" s="3">
        <f t="shared" si="14"/>
        <v>713.75</v>
      </c>
      <c r="M54" s="3"/>
      <c r="N54" s="22">
        <f t="shared" si="15"/>
        <v>-1</v>
      </c>
      <c r="O54" s="12"/>
      <c r="P54" s="3">
        <v>0</v>
      </c>
      <c r="Q54" s="3"/>
      <c r="R54" s="22">
        <f t="shared" si="16"/>
        <v>0</v>
      </c>
      <c r="S54" s="3"/>
      <c r="T54" s="3">
        <v>-713.75</v>
      </c>
      <c r="U54" s="3"/>
      <c r="V54" s="22">
        <f t="shared" si="17"/>
        <v>-4.825861614910781E-3</v>
      </c>
      <c r="W54" s="3"/>
      <c r="X54" s="3">
        <f t="shared" si="18"/>
        <v>713.75</v>
      </c>
      <c r="Y54" s="3"/>
      <c r="Z54" s="22">
        <f t="shared" si="19"/>
        <v>-1</v>
      </c>
    </row>
    <row r="55" spans="1:26" s="24" customFormat="1" hidden="1" outlineLevel="1" x14ac:dyDescent="0.3">
      <c r="A55" s="50"/>
      <c r="B55" s="12" t="str">
        <f>CONCATENATE("          ", "5042", " - ", "PURCHASES @ COST-EVERYDAY GIFT")</f>
        <v xml:space="preserve">          5042 - PURCHASES @ COST-EVERYDAY GIFT</v>
      </c>
      <c r="C55" s="12"/>
      <c r="D55" s="3">
        <v>0</v>
      </c>
      <c r="E55" s="3"/>
      <c r="F55" s="22">
        <f t="shared" si="12"/>
        <v>0</v>
      </c>
      <c r="G55" s="3"/>
      <c r="H55" s="3">
        <v>236.16</v>
      </c>
      <c r="I55" s="3"/>
      <c r="J55" s="22">
        <f t="shared" si="13"/>
        <v>1.5967432279892541E-3</v>
      </c>
      <c r="K55" s="3"/>
      <c r="L55" s="3">
        <f t="shared" si="14"/>
        <v>-236.16</v>
      </c>
      <c r="M55" s="3"/>
      <c r="N55" s="22">
        <f t="shared" si="15"/>
        <v>-1</v>
      </c>
      <c r="O55" s="12"/>
      <c r="P55" s="3">
        <v>0</v>
      </c>
      <c r="Q55" s="3"/>
      <c r="R55" s="22">
        <f t="shared" si="16"/>
        <v>0</v>
      </c>
      <c r="S55" s="3"/>
      <c r="T55" s="3">
        <v>236.16</v>
      </c>
      <c r="U55" s="3"/>
      <c r="V55" s="22">
        <f t="shared" si="17"/>
        <v>1.5967432279892541E-3</v>
      </c>
      <c r="W55" s="3"/>
      <c r="X55" s="3">
        <f t="shared" si="18"/>
        <v>-236.16</v>
      </c>
      <c r="Y55" s="3"/>
      <c r="Z55" s="22">
        <f t="shared" si="19"/>
        <v>-1</v>
      </c>
    </row>
    <row r="56" spans="1:26" s="24" customFormat="1" hidden="1" outlineLevel="1" x14ac:dyDescent="0.3">
      <c r="A56" s="50"/>
      <c r="B56" s="12" t="str">
        <f>CONCATENATE("          ", "5043", " - ", "PURCHASES @ COST-CARDS")</f>
        <v xml:space="preserve">          5043 - PURCHASES @ COST-CARDS</v>
      </c>
      <c r="C56" s="12"/>
      <c r="D56" s="3">
        <v>0</v>
      </c>
      <c r="E56" s="3"/>
      <c r="F56" s="22">
        <f t="shared" si="12"/>
        <v>0</v>
      </c>
      <c r="G56" s="3"/>
      <c r="H56" s="3">
        <v>308.7</v>
      </c>
      <c r="I56" s="3"/>
      <c r="J56" s="22">
        <f t="shared" si="13"/>
        <v>2.0872062774402217E-3</v>
      </c>
      <c r="K56" s="3"/>
      <c r="L56" s="3">
        <f t="shared" si="14"/>
        <v>-308.7</v>
      </c>
      <c r="M56" s="3"/>
      <c r="N56" s="22">
        <f t="shared" si="15"/>
        <v>-1</v>
      </c>
      <c r="O56" s="12"/>
      <c r="P56" s="3">
        <v>0</v>
      </c>
      <c r="Q56" s="3"/>
      <c r="R56" s="22">
        <f t="shared" si="16"/>
        <v>0</v>
      </c>
      <c r="S56" s="3"/>
      <c r="T56" s="3">
        <v>308.7</v>
      </c>
      <c r="U56" s="3"/>
      <c r="V56" s="22">
        <f t="shared" si="17"/>
        <v>2.0872062774402217E-3</v>
      </c>
      <c r="W56" s="3"/>
      <c r="X56" s="3">
        <f t="shared" si="18"/>
        <v>-308.7</v>
      </c>
      <c r="Y56" s="3"/>
      <c r="Z56" s="22">
        <f t="shared" si="19"/>
        <v>-1</v>
      </c>
    </row>
    <row r="57" spans="1:26" s="24" customFormat="1" hidden="1" outlineLevel="1" x14ac:dyDescent="0.3">
      <c r="A57" s="50"/>
      <c r="B57" s="12" t="str">
        <f>CONCATENATE("          ", "5044", " - ", "PURCHASES @ COST-ACCESSORIES")</f>
        <v xml:space="preserve">          5044 - PURCHASES @ COST-ACCESSORIES</v>
      </c>
      <c r="C57" s="12"/>
      <c r="D57" s="3">
        <v>0</v>
      </c>
      <c r="E57" s="3"/>
      <c r="F57" s="22">
        <f t="shared" si="12"/>
        <v>0</v>
      </c>
      <c r="G57" s="3"/>
      <c r="H57" s="3"/>
      <c r="I57" s="3"/>
      <c r="J57" s="22">
        <f t="shared" si="13"/>
        <v>0</v>
      </c>
      <c r="K57" s="3"/>
      <c r="L57" s="3">
        <f t="shared" si="14"/>
        <v>0</v>
      </c>
      <c r="M57" s="3"/>
      <c r="N57" s="22">
        <f t="shared" si="15"/>
        <v>0</v>
      </c>
      <c r="O57" s="12"/>
      <c r="P57" s="3">
        <v>0</v>
      </c>
      <c r="Q57" s="3"/>
      <c r="R57" s="22">
        <f t="shared" si="16"/>
        <v>0</v>
      </c>
      <c r="S57" s="3"/>
      <c r="T57" s="3"/>
      <c r="U57" s="3"/>
      <c r="V57" s="22">
        <f t="shared" si="17"/>
        <v>0</v>
      </c>
      <c r="W57" s="3"/>
      <c r="X57" s="3">
        <f t="shared" si="18"/>
        <v>0</v>
      </c>
      <c r="Y57" s="3"/>
      <c r="Z57" s="22">
        <f t="shared" si="19"/>
        <v>0</v>
      </c>
    </row>
    <row r="58" spans="1:26" s="24" customFormat="1" hidden="1" outlineLevel="1" x14ac:dyDescent="0.3">
      <c r="A58" s="50"/>
      <c r="B58" s="12" t="str">
        <f>CONCATENATE("          ", "5045", " - ", "PURCHASES @ COST-SPECIAL ORDER")</f>
        <v xml:space="preserve">          5045 - PURCHASES @ COST-SPECIAL ORDER</v>
      </c>
      <c r="C58" s="12"/>
      <c r="D58" s="3">
        <v>0</v>
      </c>
      <c r="E58" s="3"/>
      <c r="F58" s="22">
        <f t="shared" si="12"/>
        <v>0</v>
      </c>
      <c r="G58" s="3"/>
      <c r="H58" s="3">
        <v>2756.21</v>
      </c>
      <c r="I58" s="3"/>
      <c r="J58" s="22">
        <f t="shared" si="13"/>
        <v>1.8635499883198941E-2</v>
      </c>
      <c r="K58" s="3"/>
      <c r="L58" s="3">
        <f t="shared" si="14"/>
        <v>-2756.21</v>
      </c>
      <c r="M58" s="3"/>
      <c r="N58" s="22">
        <f t="shared" si="15"/>
        <v>-1</v>
      </c>
      <c r="O58" s="12"/>
      <c r="P58" s="3">
        <v>0</v>
      </c>
      <c r="Q58" s="3"/>
      <c r="R58" s="22">
        <f t="shared" si="16"/>
        <v>0</v>
      </c>
      <c r="S58" s="3"/>
      <c r="T58" s="3">
        <v>2756.21</v>
      </c>
      <c r="U58" s="3"/>
      <c r="V58" s="22">
        <f t="shared" si="17"/>
        <v>1.8635499883198941E-2</v>
      </c>
      <c r="W58" s="3"/>
      <c r="X58" s="3">
        <f t="shared" si="18"/>
        <v>-2756.21</v>
      </c>
      <c r="Y58" s="3"/>
      <c r="Z58" s="22">
        <f t="shared" si="19"/>
        <v>-1</v>
      </c>
    </row>
    <row r="59" spans="1:26" s="24" customFormat="1" hidden="1" outlineLevel="1" x14ac:dyDescent="0.3">
      <c r="A59" s="50"/>
      <c r="B59" s="12" t="str">
        <f>CONCATENATE("          ", "5200", " - ", "PURCHASES OFFSET")</f>
        <v xml:space="preserve">          5200 - PURCHASES OFFSET</v>
      </c>
      <c r="C59" s="12"/>
      <c r="D59" s="3">
        <v>-81956.95</v>
      </c>
      <c r="E59" s="3"/>
      <c r="F59" s="22">
        <f t="shared" si="12"/>
        <v>-0.66072611794529101</v>
      </c>
      <c r="G59" s="3"/>
      <c r="H59" s="3">
        <v>-13113.6</v>
      </c>
      <c r="I59" s="3"/>
      <c r="J59" s="22">
        <f t="shared" si="13"/>
        <v>-8.8664684936313867E-2</v>
      </c>
      <c r="K59" s="3"/>
      <c r="L59" s="3">
        <f t="shared" si="14"/>
        <v>-68843.349999999991</v>
      </c>
      <c r="M59" s="3"/>
      <c r="N59" s="22">
        <f t="shared" si="15"/>
        <v>5.2497674170326984</v>
      </c>
      <c r="O59" s="12"/>
      <c r="P59" s="3">
        <v>-81956.95</v>
      </c>
      <c r="Q59" s="3"/>
      <c r="R59" s="22">
        <f t="shared" si="16"/>
        <v>-0.66072611794529101</v>
      </c>
      <c r="S59" s="3"/>
      <c r="T59" s="3">
        <v>-13113.6</v>
      </c>
      <c r="U59" s="3"/>
      <c r="V59" s="22">
        <f t="shared" si="17"/>
        <v>-8.8664684936313867E-2</v>
      </c>
      <c r="W59" s="3"/>
      <c r="X59" s="3">
        <f t="shared" si="18"/>
        <v>-68843.349999999991</v>
      </c>
      <c r="Y59" s="3"/>
      <c r="Z59" s="22">
        <f t="shared" si="19"/>
        <v>5.2497674170326984</v>
      </c>
    </row>
    <row r="60" spans="1:26" s="24" customFormat="1" hidden="1" outlineLevel="1" x14ac:dyDescent="0.3">
      <c r="A60" s="50"/>
      <c r="B60" s="12" t="str">
        <f>CONCATENATE("          ", "5300", " - ", "COG$ OFFSET")</f>
        <v xml:space="preserve">          5300 - COG$ OFFSET</v>
      </c>
      <c r="C60" s="12"/>
      <c r="D60" s="3">
        <v>66737.36</v>
      </c>
      <c r="E60" s="3"/>
      <c r="F60" s="22">
        <f t="shared" si="12"/>
        <v>0.53802779135530732</v>
      </c>
      <c r="G60" s="3"/>
      <c r="H60" s="3">
        <v>99170</v>
      </c>
      <c r="I60" s="3"/>
      <c r="J60" s="22">
        <f t="shared" si="13"/>
        <v>0.67051586178732359</v>
      </c>
      <c r="K60" s="3"/>
      <c r="L60" s="3">
        <f t="shared" si="14"/>
        <v>-32432.639999999999</v>
      </c>
      <c r="M60" s="3"/>
      <c r="N60" s="22">
        <f t="shared" si="15"/>
        <v>-0.3270408389633962</v>
      </c>
      <c r="O60" s="12"/>
      <c r="P60" s="3">
        <v>66737.36</v>
      </c>
      <c r="Q60" s="3"/>
      <c r="R60" s="22">
        <f t="shared" si="16"/>
        <v>0.53802779135530732</v>
      </c>
      <c r="S60" s="3"/>
      <c r="T60" s="3">
        <v>99170</v>
      </c>
      <c r="U60" s="3"/>
      <c r="V60" s="22">
        <f t="shared" si="17"/>
        <v>0.67051586178732359</v>
      </c>
      <c r="W60" s="3"/>
      <c r="X60" s="3">
        <f t="shared" si="18"/>
        <v>-32432.639999999999</v>
      </c>
      <c r="Y60" s="3"/>
      <c r="Z60" s="22">
        <f t="shared" si="19"/>
        <v>-0.3270408389633962</v>
      </c>
    </row>
    <row r="61" spans="1:26" s="24" customFormat="1" hidden="1" outlineLevel="1" x14ac:dyDescent="0.3">
      <c r="A61" s="50"/>
      <c r="B61" s="12" t="str">
        <f>CONCATENATE("          ", "5500", " - ", "FREIGHT-IN")</f>
        <v xml:space="preserve">          5500 - FREIGHT-IN</v>
      </c>
      <c r="C61" s="12"/>
      <c r="D61" s="3">
        <v>1401.32</v>
      </c>
      <c r="E61" s="3"/>
      <c r="F61" s="22">
        <f t="shared" si="12"/>
        <v>1.1297256957452604E-2</v>
      </c>
      <c r="G61" s="3"/>
      <c r="H61" s="3"/>
      <c r="I61" s="3"/>
      <c r="J61" s="22">
        <f t="shared" si="13"/>
        <v>0</v>
      </c>
      <c r="K61" s="3"/>
      <c r="L61" s="3">
        <f t="shared" si="14"/>
        <v>1401.32</v>
      </c>
      <c r="M61" s="3"/>
      <c r="N61" s="22">
        <f t="shared" si="15"/>
        <v>0</v>
      </c>
      <c r="O61" s="12"/>
      <c r="P61" s="3">
        <v>1401.32</v>
      </c>
      <c r="Q61" s="3"/>
      <c r="R61" s="22">
        <f t="shared" si="16"/>
        <v>1.1297256957452604E-2</v>
      </c>
      <c r="S61" s="3"/>
      <c r="T61" s="3"/>
      <c r="U61" s="3"/>
      <c r="V61" s="22">
        <f t="shared" si="17"/>
        <v>0</v>
      </c>
      <c r="W61" s="3"/>
      <c r="X61" s="3">
        <f t="shared" si="18"/>
        <v>1401.32</v>
      </c>
      <c r="Y61" s="3"/>
      <c r="Z61" s="22">
        <f t="shared" si="19"/>
        <v>0</v>
      </c>
    </row>
    <row r="62" spans="1:26" s="24" customFormat="1" hidden="1" outlineLevel="1" x14ac:dyDescent="0.3">
      <c r="A62" s="50"/>
      <c r="B62" s="12" t="str">
        <f>CONCATENATE("          ", "5540", " - ", "FREIGHT-IN-LOGO CLOTHING")</f>
        <v xml:space="preserve">          5540 - FREIGHT-IN-LOGO CLOTHING</v>
      </c>
      <c r="C62" s="12"/>
      <c r="D62" s="3">
        <v>0</v>
      </c>
      <c r="E62" s="3"/>
      <c r="F62" s="22">
        <f t="shared" si="12"/>
        <v>0</v>
      </c>
      <c r="G62" s="3"/>
      <c r="H62" s="3">
        <v>909.83</v>
      </c>
      <c r="I62" s="3"/>
      <c r="J62" s="22">
        <f t="shared" si="13"/>
        <v>6.151612851970965E-3</v>
      </c>
      <c r="K62" s="3"/>
      <c r="L62" s="3">
        <f t="shared" si="14"/>
        <v>-909.83</v>
      </c>
      <c r="M62" s="3"/>
      <c r="N62" s="22">
        <f t="shared" si="15"/>
        <v>-1</v>
      </c>
      <c r="O62" s="12"/>
      <c r="P62" s="3">
        <v>0</v>
      </c>
      <c r="Q62" s="3"/>
      <c r="R62" s="22">
        <f t="shared" si="16"/>
        <v>0</v>
      </c>
      <c r="S62" s="3"/>
      <c r="T62" s="3">
        <v>909.83</v>
      </c>
      <c r="U62" s="3"/>
      <c r="V62" s="22">
        <f t="shared" si="17"/>
        <v>6.151612851970965E-3</v>
      </c>
      <c r="W62" s="3"/>
      <c r="X62" s="3">
        <f t="shared" si="18"/>
        <v>-909.83</v>
      </c>
      <c r="Y62" s="3"/>
      <c r="Z62" s="22">
        <f t="shared" si="19"/>
        <v>-1</v>
      </c>
    </row>
    <row r="63" spans="1:26" s="24" customFormat="1" hidden="1" outlineLevel="1" x14ac:dyDescent="0.3">
      <c r="A63" s="50"/>
      <c r="B63" s="12" t="str">
        <f>CONCATENATE("          ", "5541", " - ", "FREIGHT-IN-LOGO GIFTS")</f>
        <v xml:space="preserve">          5541 - FREIGHT-IN-LOGO GIFTS</v>
      </c>
      <c r="C63" s="12"/>
      <c r="D63" s="3">
        <v>0</v>
      </c>
      <c r="E63" s="3"/>
      <c r="F63" s="22">
        <f t="shared" si="12"/>
        <v>0</v>
      </c>
      <c r="G63" s="3"/>
      <c r="H63" s="3">
        <v>83.58</v>
      </c>
      <c r="I63" s="3"/>
      <c r="J63" s="22">
        <f t="shared" si="13"/>
        <v>5.6510754994640007E-4</v>
      </c>
      <c r="K63" s="3"/>
      <c r="L63" s="3">
        <f t="shared" si="14"/>
        <v>-83.58</v>
      </c>
      <c r="M63" s="3"/>
      <c r="N63" s="22">
        <f t="shared" si="15"/>
        <v>-1</v>
      </c>
      <c r="O63" s="12"/>
      <c r="P63" s="3">
        <v>0</v>
      </c>
      <c r="Q63" s="3"/>
      <c r="R63" s="22">
        <f t="shared" si="16"/>
        <v>0</v>
      </c>
      <c r="S63" s="3"/>
      <c r="T63" s="3">
        <v>83.58</v>
      </c>
      <c r="U63" s="3"/>
      <c r="V63" s="22">
        <f t="shared" si="17"/>
        <v>5.6510754994640007E-4</v>
      </c>
      <c r="W63" s="3"/>
      <c r="X63" s="3">
        <f t="shared" si="18"/>
        <v>-83.58</v>
      </c>
      <c r="Y63" s="3"/>
      <c r="Z63" s="22">
        <f t="shared" si="19"/>
        <v>-1</v>
      </c>
    </row>
    <row r="64" spans="1:26" s="24" customFormat="1" hidden="1" outlineLevel="1" x14ac:dyDescent="0.3">
      <c r="A64" s="50"/>
      <c r="B64" s="12" t="str">
        <f>CONCATENATE("          ", "5542", " - ", "FREIGHT-IN-EVERYDAY GIFTS")</f>
        <v xml:space="preserve">          5542 - FREIGHT-IN-EVERYDAY GIFTS</v>
      </c>
      <c r="C64" s="12"/>
      <c r="D64" s="3">
        <v>0</v>
      </c>
      <c r="E64" s="3"/>
      <c r="F64" s="22">
        <f t="shared" si="12"/>
        <v>0</v>
      </c>
      <c r="G64" s="3"/>
      <c r="H64" s="3">
        <v>5.94</v>
      </c>
      <c r="I64" s="3"/>
      <c r="J64" s="22">
        <f t="shared" si="13"/>
        <v>4.0161986679607765E-5</v>
      </c>
      <c r="K64" s="3"/>
      <c r="L64" s="3">
        <f t="shared" si="14"/>
        <v>-5.94</v>
      </c>
      <c r="M64" s="3"/>
      <c r="N64" s="22">
        <f t="shared" si="15"/>
        <v>-1</v>
      </c>
      <c r="O64" s="12"/>
      <c r="P64" s="3">
        <v>0</v>
      </c>
      <c r="Q64" s="3"/>
      <c r="R64" s="22">
        <f t="shared" si="16"/>
        <v>0</v>
      </c>
      <c r="S64" s="3"/>
      <c r="T64" s="3">
        <v>5.94</v>
      </c>
      <c r="U64" s="3"/>
      <c r="V64" s="22">
        <f t="shared" si="17"/>
        <v>4.0161986679607765E-5</v>
      </c>
      <c r="W64" s="3"/>
      <c r="X64" s="3">
        <f t="shared" si="18"/>
        <v>-5.94</v>
      </c>
      <c r="Y64" s="3"/>
      <c r="Z64" s="22">
        <f t="shared" si="19"/>
        <v>-1</v>
      </c>
    </row>
    <row r="65" spans="1:26" s="24" customFormat="1" hidden="1" outlineLevel="1" x14ac:dyDescent="0.3">
      <c r="A65" s="50"/>
      <c r="B65" s="12" t="str">
        <f>CONCATENATE("          ", "5544", " - ", "FREIGHT-IN-ACCESSORIES")</f>
        <v xml:space="preserve">          5544 - FREIGHT-IN-ACCESSORIES</v>
      </c>
      <c r="C65" s="12"/>
      <c r="D65" s="3">
        <v>0</v>
      </c>
      <c r="E65" s="3"/>
      <c r="F65" s="22">
        <f t="shared" si="12"/>
        <v>0</v>
      </c>
      <c r="G65" s="3"/>
      <c r="H65" s="3"/>
      <c r="I65" s="3"/>
      <c r="J65" s="22">
        <f t="shared" si="13"/>
        <v>0</v>
      </c>
      <c r="K65" s="3"/>
      <c r="L65" s="3">
        <f t="shared" si="14"/>
        <v>0</v>
      </c>
      <c r="M65" s="3"/>
      <c r="N65" s="22">
        <f t="shared" si="15"/>
        <v>0</v>
      </c>
      <c r="O65" s="12"/>
      <c r="P65" s="3">
        <v>0</v>
      </c>
      <c r="Q65" s="3"/>
      <c r="R65" s="22">
        <f t="shared" si="16"/>
        <v>0</v>
      </c>
      <c r="S65" s="3"/>
      <c r="T65" s="3"/>
      <c r="U65" s="3"/>
      <c r="V65" s="22">
        <f t="shared" si="17"/>
        <v>0</v>
      </c>
      <c r="W65" s="3"/>
      <c r="X65" s="3">
        <f t="shared" si="18"/>
        <v>0</v>
      </c>
      <c r="Y65" s="3"/>
      <c r="Z65" s="22">
        <f t="shared" si="19"/>
        <v>0</v>
      </c>
    </row>
    <row r="66" spans="1:26" s="24" customFormat="1" hidden="1" outlineLevel="1" x14ac:dyDescent="0.3">
      <c r="A66" s="50"/>
      <c r="B66" s="12" t="str">
        <f>CONCATENATE("          ", "5545", " - ", "FREIGHT-IN-SPECIAL ORDERS")</f>
        <v xml:space="preserve">          5545 - FREIGHT-IN-SPECIAL ORDERS</v>
      </c>
      <c r="C66" s="12"/>
      <c r="D66" s="3">
        <v>0</v>
      </c>
      <c r="E66" s="3"/>
      <c r="F66" s="22">
        <f t="shared" si="12"/>
        <v>0</v>
      </c>
      <c r="G66" s="3"/>
      <c r="H66" s="3">
        <v>300.39999999999998</v>
      </c>
      <c r="I66" s="3"/>
      <c r="J66" s="22">
        <f t="shared" si="13"/>
        <v>2.0310876765242711E-3</v>
      </c>
      <c r="K66" s="3"/>
      <c r="L66" s="3">
        <f t="shared" si="14"/>
        <v>-300.39999999999998</v>
      </c>
      <c r="M66" s="3"/>
      <c r="N66" s="22">
        <f t="shared" si="15"/>
        <v>-1</v>
      </c>
      <c r="O66" s="12"/>
      <c r="P66" s="3">
        <v>0</v>
      </c>
      <c r="Q66" s="3"/>
      <c r="R66" s="22">
        <f t="shared" si="16"/>
        <v>0</v>
      </c>
      <c r="S66" s="3"/>
      <c r="T66" s="3">
        <v>300.39999999999998</v>
      </c>
      <c r="U66" s="3"/>
      <c r="V66" s="22">
        <f t="shared" si="17"/>
        <v>2.0310876765242711E-3</v>
      </c>
      <c r="W66" s="3"/>
      <c r="X66" s="3">
        <f t="shared" si="18"/>
        <v>-300.39999999999998</v>
      </c>
      <c r="Y66" s="3"/>
      <c r="Z66" s="22">
        <f t="shared" si="19"/>
        <v>-1</v>
      </c>
    </row>
    <row r="67" spans="1:26" x14ac:dyDescent="0.3">
      <c r="A67" s="9"/>
      <c r="B67" s="10"/>
      <c r="C67" s="10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O67" s="10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x14ac:dyDescent="0.3">
      <c r="A68" s="10"/>
      <c r="B68" s="26" t="s">
        <v>107</v>
      </c>
      <c r="C68" s="26"/>
      <c r="D68" s="20">
        <f>D12-D50</f>
        <v>57303.369999999981</v>
      </c>
      <c r="E68" s="13"/>
      <c r="F68" s="21">
        <f>IF(D$12=0,0,D68/D$12)</f>
        <v>0.46197220864469263</v>
      </c>
      <c r="G68" s="13"/>
      <c r="H68" s="20">
        <f>H12-H50</f>
        <v>47731.109999999957</v>
      </c>
      <c r="I68" s="13"/>
      <c r="J68" s="21">
        <f>IF(H$12=0,0,H68/H$12)</f>
        <v>0.32272326667052037</v>
      </c>
      <c r="K68" s="16"/>
      <c r="L68" s="20">
        <f>+D68-H68</f>
        <v>9572.2600000000239</v>
      </c>
      <c r="M68" s="16"/>
      <c r="N68" s="21">
        <f>IF(H68=0,0,L68/H68)</f>
        <v>0.2005455142358942</v>
      </c>
      <c r="O68" s="25"/>
      <c r="P68" s="20">
        <f>P12-P50</f>
        <v>57303.369999999981</v>
      </c>
      <c r="Q68" s="13"/>
      <c r="R68" s="21">
        <f>IF(P$12=0,0,P68/P$12)</f>
        <v>0.46197220864469263</v>
      </c>
      <c r="S68" s="13"/>
      <c r="T68" s="20">
        <f>T12-T50</f>
        <v>47731.109999999957</v>
      </c>
      <c r="U68" s="13"/>
      <c r="V68" s="21">
        <f>IF(T$12=0,0,T68/T$12)</f>
        <v>0.32272326667052037</v>
      </c>
      <c r="W68" s="16"/>
      <c r="X68" s="20">
        <f>+P68-T68</f>
        <v>9572.2600000000239</v>
      </c>
      <c r="Y68" s="16"/>
      <c r="Z68" s="21">
        <f>IF(T68=0,0,X68/T68)</f>
        <v>0.2005455142358942</v>
      </c>
    </row>
    <row r="69" spans="1:26" x14ac:dyDescent="0.3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5" t="s">
        <v>294</v>
      </c>
      <c r="C70" s="10"/>
      <c r="D70" s="19">
        <f>SUM(OSRRefD22x_0)</f>
        <v>79291.010000000009</v>
      </c>
      <c r="E70" s="19"/>
      <c r="F70" s="35">
        <f t="shared" ref="F70:F79" si="20">IF(D$12=0,0,D70/D$12)</f>
        <v>0.63923366139493065</v>
      </c>
      <c r="G70" s="19"/>
      <c r="H70" s="19">
        <f>SUM(OSRRefH22x_0)</f>
        <v>39711.06</v>
      </c>
      <c r="I70" s="19"/>
      <c r="J70" s="35">
        <f t="shared" ref="J70:J79" si="21">IF(H$12=0,0,H70/H$12)</f>
        <v>0.26849748531197049</v>
      </c>
      <c r="K70" s="4"/>
      <c r="L70" s="19">
        <f t="shared" ref="L70:L79" si="22">+D70-H70</f>
        <v>39579.950000000012</v>
      </c>
      <c r="M70" s="4"/>
      <c r="N70" s="35">
        <f t="shared" ref="N70:N79" si="23">IF(H70=0,0,L70/H70)</f>
        <v>0.9966984008988935</v>
      </c>
      <c r="O70" s="10"/>
      <c r="P70" s="19">
        <f>SUM(OSRRefP22x_0)</f>
        <v>79291.010000000009</v>
      </c>
      <c r="Q70" s="19"/>
      <c r="R70" s="35">
        <f t="shared" ref="R70:R79" si="24">IF(P$12=0,0,P70/P$12)</f>
        <v>0.63923366139493065</v>
      </c>
      <c r="S70" s="19"/>
      <c r="T70" s="19">
        <f>SUM(OSRRefT22x_0)</f>
        <v>39711.06</v>
      </c>
      <c r="U70" s="19"/>
      <c r="V70" s="35">
        <f t="shared" ref="V70:V79" si="25">IF(T$12=0,0,T70/T$12)</f>
        <v>0.26849748531197049</v>
      </c>
      <c r="W70" s="4"/>
      <c r="X70" s="19">
        <f t="shared" ref="X70:X79" si="26">+P70-T70</f>
        <v>39579.950000000012</v>
      </c>
      <c r="Y70" s="4"/>
      <c r="Z70" s="35">
        <f t="shared" ref="Z70:Z79" si="27">IF(T70=0,0,X70/T70)</f>
        <v>0.9966984008988935</v>
      </c>
    </row>
    <row r="71" spans="1:26" s="29" customFormat="1" outlineLevel="1" collapsed="1" x14ac:dyDescent="0.3">
      <c r="A71" s="28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12377.75</v>
      </c>
      <c r="E71" s="1"/>
      <c r="F71" s="5">
        <f t="shared" si="20"/>
        <v>9.9787787446913606E-2</v>
      </c>
      <c r="G71" s="1"/>
      <c r="H71" s="1">
        <f>SUM(OSRRefH22_0x_0)</f>
        <v>8882.7100000000009</v>
      </c>
      <c r="I71" s="1"/>
      <c r="J71" s="5">
        <f t="shared" si="21"/>
        <v>6.0058464764110892E-2</v>
      </c>
      <c r="K71" s="1"/>
      <c r="L71" s="1">
        <f t="shared" si="22"/>
        <v>3495.0399999999991</v>
      </c>
      <c r="M71" s="1"/>
      <c r="N71" s="5">
        <f t="shared" si="23"/>
        <v>0.39346550771104749</v>
      </c>
      <c r="O71" s="14"/>
      <c r="P71" s="1">
        <f>SUM(OSRRefP22_0x_0)</f>
        <v>12377.75</v>
      </c>
      <c r="Q71" s="1"/>
      <c r="R71" s="5">
        <f t="shared" si="24"/>
        <v>9.9787787446913606E-2</v>
      </c>
      <c r="S71" s="1"/>
      <c r="T71" s="1">
        <f>SUM(OSRRefT22_0x_0)</f>
        <v>8882.7100000000009</v>
      </c>
      <c r="U71" s="1"/>
      <c r="V71" s="5">
        <f t="shared" si="25"/>
        <v>6.0058464764110892E-2</v>
      </c>
      <c r="W71" s="1"/>
      <c r="X71" s="1">
        <f t="shared" si="26"/>
        <v>3495.0399999999991</v>
      </c>
      <c r="Y71" s="1"/>
      <c r="Z71" s="5">
        <f t="shared" si="27"/>
        <v>0.39346550771104749</v>
      </c>
    </row>
    <row r="72" spans="1:26" s="24" customFormat="1" hidden="1" outlineLevel="2" x14ac:dyDescent="0.3">
      <c r="A72" s="27"/>
      <c r="B72" s="12" t="str">
        <f>CONCATENATE("          ", "6111", " - ", "F.I.C.A.")</f>
        <v xml:space="preserve">          6111 - F.I.C.A.</v>
      </c>
      <c r="C72" s="12"/>
      <c r="D72" s="8">
        <v>2854.43</v>
      </c>
      <c r="E72" s="3"/>
      <c r="F72" s="7">
        <f t="shared" si="20"/>
        <v>2.3012038062013986E-2</v>
      </c>
      <c r="G72" s="3"/>
      <c r="H72" s="8">
        <v>1400.06</v>
      </c>
      <c r="I72" s="3"/>
      <c r="J72" s="7">
        <f t="shared" si="21"/>
        <v>9.4661937829379865E-3</v>
      </c>
      <c r="K72" s="3"/>
      <c r="L72" s="8">
        <f t="shared" si="22"/>
        <v>1454.37</v>
      </c>
      <c r="M72" s="3"/>
      <c r="N72" s="7">
        <f t="shared" si="23"/>
        <v>1.0387911946630859</v>
      </c>
      <c r="O72" s="12"/>
      <c r="P72" s="8">
        <v>2854.43</v>
      </c>
      <c r="Q72" s="3"/>
      <c r="R72" s="7">
        <f t="shared" si="24"/>
        <v>2.3012038062013986E-2</v>
      </c>
      <c r="S72" s="3"/>
      <c r="T72" s="8">
        <v>1400.06</v>
      </c>
      <c r="U72" s="3"/>
      <c r="V72" s="7">
        <f t="shared" si="25"/>
        <v>9.4661937829379865E-3</v>
      </c>
      <c r="W72" s="3"/>
      <c r="X72" s="8">
        <f t="shared" si="26"/>
        <v>1454.37</v>
      </c>
      <c r="Y72" s="3"/>
      <c r="Z72" s="7">
        <f t="shared" si="27"/>
        <v>1.0387911946630859</v>
      </c>
    </row>
    <row r="73" spans="1:26" s="24" customFormat="1" hidden="1" outlineLevel="2" x14ac:dyDescent="0.3">
      <c r="A73" s="27"/>
      <c r="B73" s="12" t="str">
        <f>CONCATENATE("          ", "6112", " - ", "COMPENSATION INSURANCE")</f>
        <v xml:space="preserve">          6112 - COMPENSATION INSURANCE</v>
      </c>
      <c r="C73" s="12"/>
      <c r="D73" s="8">
        <v>697.24</v>
      </c>
      <c r="E73" s="3"/>
      <c r="F73" s="7">
        <f t="shared" si="20"/>
        <v>5.6210568899425217E-3</v>
      </c>
      <c r="G73" s="3"/>
      <c r="H73" s="8">
        <v>362.05</v>
      </c>
      <c r="I73" s="3"/>
      <c r="J73" s="7">
        <f t="shared" si="21"/>
        <v>2.4479204170626246E-3</v>
      </c>
      <c r="K73" s="3"/>
      <c r="L73" s="8">
        <f t="shared" si="22"/>
        <v>335.19</v>
      </c>
      <c r="M73" s="3"/>
      <c r="N73" s="7">
        <f t="shared" si="23"/>
        <v>0.9258113520232012</v>
      </c>
      <c r="O73" s="12"/>
      <c r="P73" s="8">
        <v>697.24</v>
      </c>
      <c r="Q73" s="3"/>
      <c r="R73" s="7">
        <f t="shared" si="24"/>
        <v>5.6210568899425217E-3</v>
      </c>
      <c r="S73" s="3"/>
      <c r="T73" s="8">
        <v>362.05</v>
      </c>
      <c r="U73" s="3"/>
      <c r="V73" s="7">
        <f t="shared" si="25"/>
        <v>2.4479204170626246E-3</v>
      </c>
      <c r="W73" s="3"/>
      <c r="X73" s="8">
        <f t="shared" si="26"/>
        <v>335.19</v>
      </c>
      <c r="Y73" s="3"/>
      <c r="Z73" s="7">
        <f t="shared" si="27"/>
        <v>0.9258113520232012</v>
      </c>
    </row>
    <row r="74" spans="1:26" s="24" customFormat="1" hidden="1" outlineLevel="2" x14ac:dyDescent="0.3">
      <c r="A74" s="27"/>
      <c r="B74" s="12" t="str">
        <f>CONCATENATE("          ", "6113", " - ", "GROUP INSURANCE")</f>
        <v xml:space="preserve">          6113 - GROUP INSURANCE</v>
      </c>
      <c r="C74" s="12"/>
      <c r="D74" s="8">
        <v>4284.43</v>
      </c>
      <c r="E74" s="3"/>
      <c r="F74" s="7">
        <f t="shared" si="20"/>
        <v>3.4540509395583209E-2</v>
      </c>
      <c r="G74" s="3"/>
      <c r="H74" s="8">
        <v>2826.13</v>
      </c>
      <c r="I74" s="3"/>
      <c r="J74" s="7">
        <f t="shared" si="21"/>
        <v>1.9108248386336683E-2</v>
      </c>
      <c r="K74" s="3"/>
      <c r="L74" s="8">
        <f t="shared" si="22"/>
        <v>1458.3000000000002</v>
      </c>
      <c r="M74" s="3"/>
      <c r="N74" s="7">
        <f t="shared" si="23"/>
        <v>0.51600598698573674</v>
      </c>
      <c r="O74" s="12"/>
      <c r="P74" s="8">
        <v>4284.43</v>
      </c>
      <c r="Q74" s="3"/>
      <c r="R74" s="7">
        <f t="shared" si="24"/>
        <v>3.4540509395583209E-2</v>
      </c>
      <c r="S74" s="3"/>
      <c r="T74" s="8">
        <v>2826.13</v>
      </c>
      <c r="U74" s="3"/>
      <c r="V74" s="7">
        <f t="shared" si="25"/>
        <v>1.9108248386336683E-2</v>
      </c>
      <c r="W74" s="3"/>
      <c r="X74" s="8">
        <f t="shared" si="26"/>
        <v>1458.3000000000002</v>
      </c>
      <c r="Y74" s="3"/>
      <c r="Z74" s="7">
        <f t="shared" si="27"/>
        <v>0.51600598698573674</v>
      </c>
    </row>
    <row r="75" spans="1:26" s="24" customFormat="1" hidden="1" outlineLevel="2" x14ac:dyDescent="0.3">
      <c r="A75" s="27"/>
      <c r="B75" s="12" t="str">
        <f>CONCATENATE("          ", "6114", " - ", "STATE UNEMPLOYMENT INSURANCE")</f>
        <v xml:space="preserve">          6114 - STATE UNEMPLOYMENT INSURANCE</v>
      </c>
      <c r="C75" s="12"/>
      <c r="D75" s="8">
        <v>122.49</v>
      </c>
      <c r="E75" s="3"/>
      <c r="F75" s="7">
        <f t="shared" si="20"/>
        <v>9.8749821933489103E-4</v>
      </c>
      <c r="G75" s="3"/>
      <c r="H75" s="8">
        <v>43.75</v>
      </c>
      <c r="I75" s="3"/>
      <c r="J75" s="7">
        <f t="shared" si="21"/>
        <v>2.9580587832202688E-4</v>
      </c>
      <c r="K75" s="3"/>
      <c r="L75" s="8">
        <f t="shared" si="22"/>
        <v>78.739999999999995</v>
      </c>
      <c r="M75" s="3"/>
      <c r="N75" s="7">
        <f t="shared" si="23"/>
        <v>1.7997714285714284</v>
      </c>
      <c r="O75" s="12"/>
      <c r="P75" s="8">
        <v>122.49</v>
      </c>
      <c r="Q75" s="3"/>
      <c r="R75" s="7">
        <f t="shared" si="24"/>
        <v>9.8749821933489103E-4</v>
      </c>
      <c r="S75" s="3"/>
      <c r="T75" s="8">
        <v>43.75</v>
      </c>
      <c r="U75" s="3"/>
      <c r="V75" s="7">
        <f t="shared" si="25"/>
        <v>2.9580587832202688E-4</v>
      </c>
      <c r="W75" s="3"/>
      <c r="X75" s="8">
        <f t="shared" si="26"/>
        <v>78.739999999999995</v>
      </c>
      <c r="Y75" s="3"/>
      <c r="Z75" s="7">
        <f t="shared" si="27"/>
        <v>1.7997714285714284</v>
      </c>
    </row>
    <row r="76" spans="1:26" s="24" customFormat="1" hidden="1" outlineLevel="2" x14ac:dyDescent="0.3">
      <c r="A76" s="27"/>
      <c r="B76" s="12" t="str">
        <f>CONCATENATE("          ", "6115", " - ", "P.E.R.S.")</f>
        <v xml:space="preserve">          6115 - P.E.R.S.</v>
      </c>
      <c r="C76" s="12"/>
      <c r="D76" s="8">
        <v>1490.59</v>
      </c>
      <c r="E76" s="3"/>
      <c r="F76" s="7">
        <f t="shared" si="20"/>
        <v>1.201693991965381E-2</v>
      </c>
      <c r="G76" s="3"/>
      <c r="H76" s="8">
        <v>1969.19</v>
      </c>
      <c r="I76" s="3"/>
      <c r="J76" s="7">
        <f t="shared" si="21"/>
        <v>1.3314239486467476E-2</v>
      </c>
      <c r="K76" s="3"/>
      <c r="L76" s="8">
        <f t="shared" si="22"/>
        <v>-478.60000000000014</v>
      </c>
      <c r="M76" s="3"/>
      <c r="N76" s="7">
        <f t="shared" si="23"/>
        <v>-0.24304409427226428</v>
      </c>
      <c r="O76" s="12"/>
      <c r="P76" s="8">
        <v>1490.59</v>
      </c>
      <c r="Q76" s="3"/>
      <c r="R76" s="7">
        <f t="shared" si="24"/>
        <v>1.201693991965381E-2</v>
      </c>
      <c r="S76" s="3"/>
      <c r="T76" s="8">
        <v>1969.19</v>
      </c>
      <c r="U76" s="3"/>
      <c r="V76" s="7">
        <f t="shared" si="25"/>
        <v>1.3314239486467476E-2</v>
      </c>
      <c r="W76" s="3"/>
      <c r="X76" s="8">
        <f t="shared" si="26"/>
        <v>-478.60000000000014</v>
      </c>
      <c r="Y76" s="3"/>
      <c r="Z76" s="7">
        <f t="shared" si="27"/>
        <v>-0.24304409427226428</v>
      </c>
    </row>
    <row r="77" spans="1:26" s="24" customFormat="1" hidden="1" outlineLevel="2" x14ac:dyDescent="0.3">
      <c r="A77" s="27"/>
      <c r="B77" s="12" t="str">
        <f>CONCATENATE("          ", "6118", " - ", "VACATION")</f>
        <v xml:space="preserve">          6118 - VACATION</v>
      </c>
      <c r="C77" s="12"/>
      <c r="D77" s="8">
        <v>1573.42</v>
      </c>
      <c r="E77" s="3"/>
      <c r="F77" s="7">
        <f t="shared" si="20"/>
        <v>1.2684704451513628E-2</v>
      </c>
      <c r="G77" s="3"/>
      <c r="H77" s="8">
        <v>1222.52</v>
      </c>
      <c r="I77" s="3"/>
      <c r="J77" s="7">
        <f t="shared" si="21"/>
        <v>8.265796625514155E-3</v>
      </c>
      <c r="K77" s="3"/>
      <c r="L77" s="8">
        <f t="shared" si="22"/>
        <v>350.90000000000009</v>
      </c>
      <c r="M77" s="3"/>
      <c r="N77" s="7">
        <f t="shared" si="23"/>
        <v>0.28703006903772543</v>
      </c>
      <c r="O77" s="12"/>
      <c r="P77" s="8">
        <v>1573.42</v>
      </c>
      <c r="Q77" s="3"/>
      <c r="R77" s="7">
        <f t="shared" si="24"/>
        <v>1.2684704451513628E-2</v>
      </c>
      <c r="S77" s="3"/>
      <c r="T77" s="8">
        <v>1222.52</v>
      </c>
      <c r="U77" s="3"/>
      <c r="V77" s="7">
        <f t="shared" si="25"/>
        <v>8.265796625514155E-3</v>
      </c>
      <c r="W77" s="3"/>
      <c r="X77" s="8">
        <f t="shared" si="26"/>
        <v>350.90000000000009</v>
      </c>
      <c r="Y77" s="3"/>
      <c r="Z77" s="7">
        <f t="shared" si="27"/>
        <v>0.28703006903772543</v>
      </c>
    </row>
    <row r="78" spans="1:26" s="24" customFormat="1" hidden="1" outlineLevel="2" x14ac:dyDescent="0.3">
      <c r="A78" s="27"/>
      <c r="B78" s="12" t="str">
        <f>CONCATENATE("          ", "6119", " - ", "SICK LEAVE")</f>
        <v xml:space="preserve">          6119 - SICK LEAVE</v>
      </c>
      <c r="C78" s="12"/>
      <c r="D78" s="8">
        <v>1066.4000000000001</v>
      </c>
      <c r="E78" s="3"/>
      <c r="F78" s="7">
        <f t="shared" si="20"/>
        <v>8.597176104977778E-3</v>
      </c>
      <c r="G78" s="3"/>
      <c r="H78" s="8">
        <v>777.18</v>
      </c>
      <c r="I78" s="3"/>
      <c r="J78" s="7">
        <f t="shared" si="21"/>
        <v>5.2547294288985786E-3</v>
      </c>
      <c r="K78" s="3"/>
      <c r="L78" s="8">
        <f t="shared" si="22"/>
        <v>289.22000000000014</v>
      </c>
      <c r="M78" s="3"/>
      <c r="N78" s="7">
        <f t="shared" si="23"/>
        <v>0.37214030211791371</v>
      </c>
      <c r="O78" s="12"/>
      <c r="P78" s="8">
        <v>1066.4000000000001</v>
      </c>
      <c r="Q78" s="3"/>
      <c r="R78" s="7">
        <f t="shared" si="24"/>
        <v>8.597176104977778E-3</v>
      </c>
      <c r="S78" s="3"/>
      <c r="T78" s="8">
        <v>777.18</v>
      </c>
      <c r="U78" s="3"/>
      <c r="V78" s="7">
        <f t="shared" si="25"/>
        <v>5.2547294288985786E-3</v>
      </c>
      <c r="W78" s="3"/>
      <c r="X78" s="8">
        <f t="shared" si="26"/>
        <v>289.22000000000014</v>
      </c>
      <c r="Y78" s="3"/>
      <c r="Z78" s="7">
        <f t="shared" si="27"/>
        <v>0.37214030211791371</v>
      </c>
    </row>
    <row r="79" spans="1:26" s="24" customFormat="1" hidden="1" outlineLevel="2" x14ac:dyDescent="0.3">
      <c r="A79" s="27"/>
      <c r="B79" s="12" t="str">
        <f>CONCATENATE("          ", "6156", " - ", "EMPLOYEE MEALS")</f>
        <v xml:space="preserve">          6156 - EMPLOYEE MEALS</v>
      </c>
      <c r="C79" s="12"/>
      <c r="D79" s="8">
        <v>288.75</v>
      </c>
      <c r="E79" s="3"/>
      <c r="F79" s="7">
        <f t="shared" si="20"/>
        <v>2.3278644038937854E-3</v>
      </c>
      <c r="G79" s="3"/>
      <c r="H79" s="8">
        <v>281.83</v>
      </c>
      <c r="I79" s="3"/>
      <c r="J79" s="7">
        <f t="shared" si="21"/>
        <v>1.905530758571356E-3</v>
      </c>
      <c r="K79" s="3"/>
      <c r="L79" s="8">
        <f t="shared" si="22"/>
        <v>6.9200000000000159</v>
      </c>
      <c r="M79" s="3"/>
      <c r="N79" s="7">
        <f t="shared" si="23"/>
        <v>2.455380903381477E-2</v>
      </c>
      <c r="O79" s="12"/>
      <c r="P79" s="8">
        <v>288.75</v>
      </c>
      <c r="Q79" s="3"/>
      <c r="R79" s="7">
        <f t="shared" si="24"/>
        <v>2.3278644038937854E-3</v>
      </c>
      <c r="S79" s="3"/>
      <c r="T79" s="8">
        <v>281.83</v>
      </c>
      <c r="U79" s="3"/>
      <c r="V79" s="7">
        <f t="shared" si="25"/>
        <v>1.905530758571356E-3</v>
      </c>
      <c r="W79" s="3"/>
      <c r="X79" s="8">
        <f t="shared" si="26"/>
        <v>6.9200000000000159</v>
      </c>
      <c r="Y79" s="3"/>
      <c r="Z79" s="7">
        <f t="shared" si="27"/>
        <v>2.455380903381477E-2</v>
      </c>
    </row>
    <row r="80" spans="1:26" s="29" customFormat="1" outlineLevel="1" collapsed="1" x14ac:dyDescent="0.3">
      <c r="A80" s="28"/>
      <c r="B80" s="14" t="str">
        <f>CONCATENATE("     ","*Payroll                                          ")</f>
        <v xml:space="preserve">     *Payroll                                          </v>
      </c>
      <c r="C80" s="14"/>
      <c r="D80" s="1">
        <f>SUM(OSRRefD22_1x_0)</f>
        <v>52676.639999999999</v>
      </c>
      <c r="E80" s="1"/>
      <c r="F80" s="5">
        <f t="shared" ref="F80:F85" si="28">IF(D$12=0,0,D80/D$12)</f>
        <v>0.42467212181031183</v>
      </c>
      <c r="G80" s="1"/>
      <c r="H80" s="1">
        <f>SUM(OSRRefH22_1x_0)</f>
        <v>21274.85</v>
      </c>
      <c r="I80" s="1"/>
      <c r="J80" s="5">
        <f t="shared" ref="J80:J85" si="29">IF(H$12=0,0,H80/H$12)</f>
        <v>0.14384515863815708</v>
      </c>
      <c r="K80" s="1"/>
      <c r="L80" s="1">
        <f t="shared" ref="L80:L85" si="30">+D80-H80</f>
        <v>31401.79</v>
      </c>
      <c r="M80" s="1"/>
      <c r="N80" s="5">
        <f t="shared" ref="N80:N85" si="31">IF(H80=0,0,L80/H80)</f>
        <v>1.4760052362296328</v>
      </c>
      <c r="O80" s="14"/>
      <c r="P80" s="1">
        <f>SUM(OSRRefP22_1x_0)</f>
        <v>52676.639999999999</v>
      </c>
      <c r="Q80" s="1"/>
      <c r="R80" s="5">
        <f t="shared" ref="R80:R85" si="32">IF(P$12=0,0,P80/P$12)</f>
        <v>0.42467212181031183</v>
      </c>
      <c r="S80" s="1"/>
      <c r="T80" s="1">
        <f>SUM(OSRRefT22_1x_0)</f>
        <v>21274.85</v>
      </c>
      <c r="U80" s="1"/>
      <c r="V80" s="5">
        <f t="shared" ref="V80:V85" si="33">IF(T$12=0,0,T80/T$12)</f>
        <v>0.14384515863815708</v>
      </c>
      <c r="W80" s="1"/>
      <c r="X80" s="1">
        <f t="shared" ref="X80:X85" si="34">+P80-T80</f>
        <v>31401.79</v>
      </c>
      <c r="Y80" s="1"/>
      <c r="Z80" s="5">
        <f t="shared" ref="Z80:Z85" si="35">IF(T80=0,0,X80/T80)</f>
        <v>1.4760052362296328</v>
      </c>
    </row>
    <row r="81" spans="1:26" s="24" customFormat="1" hidden="1" outlineLevel="2" x14ac:dyDescent="0.3">
      <c r="A81" s="27"/>
      <c r="B81" s="12" t="str">
        <f>CONCATENATE("          ", "6002", " - ", "STAFF SALARIES")</f>
        <v xml:space="preserve">          6002 - STAFF SALARIES</v>
      </c>
      <c r="C81" s="12"/>
      <c r="D81" s="8">
        <v>15720.22</v>
      </c>
      <c r="E81" s="3"/>
      <c r="F81" s="7">
        <f t="shared" si="28"/>
        <v>0.12673433959958152</v>
      </c>
      <c r="G81" s="3"/>
      <c r="H81" s="8">
        <v>16234.78</v>
      </c>
      <c r="I81" s="3"/>
      <c r="J81" s="7">
        <f t="shared" si="29"/>
        <v>0.1097678481660543</v>
      </c>
      <c r="K81" s="3"/>
      <c r="L81" s="8">
        <f t="shared" si="30"/>
        <v>-514.56000000000131</v>
      </c>
      <c r="M81" s="3"/>
      <c r="N81" s="7">
        <f t="shared" si="31"/>
        <v>-3.1694916715841008E-2</v>
      </c>
      <c r="O81" s="12"/>
      <c r="P81" s="8">
        <v>15720.22</v>
      </c>
      <c r="Q81" s="3"/>
      <c r="R81" s="7">
        <f t="shared" si="32"/>
        <v>0.12673433959958152</v>
      </c>
      <c r="S81" s="3"/>
      <c r="T81" s="8">
        <v>16234.78</v>
      </c>
      <c r="U81" s="3"/>
      <c r="V81" s="7">
        <f t="shared" si="33"/>
        <v>0.1097678481660543</v>
      </c>
      <c r="W81" s="3"/>
      <c r="X81" s="8">
        <f t="shared" si="34"/>
        <v>-514.56000000000131</v>
      </c>
      <c r="Y81" s="3"/>
      <c r="Z81" s="7">
        <f t="shared" si="35"/>
        <v>-3.1694916715841008E-2</v>
      </c>
    </row>
    <row r="82" spans="1:26" s="24" customFormat="1" hidden="1" outlineLevel="2" x14ac:dyDescent="0.3">
      <c r="A82" s="27"/>
      <c r="B82" s="12" t="str">
        <f>CONCATENATE("          ", "6004", " - ", "STAFF HOURLY")</f>
        <v xml:space="preserve">          6004 - STAFF HOURLY</v>
      </c>
      <c r="C82" s="12"/>
      <c r="D82" s="8">
        <v>8114.48</v>
      </c>
      <c r="E82" s="3"/>
      <c r="F82" s="7">
        <f t="shared" si="28"/>
        <v>6.5417867179594955E-2</v>
      </c>
      <c r="G82" s="3"/>
      <c r="H82" s="8">
        <v>3989.25</v>
      </c>
      <c r="I82" s="3"/>
      <c r="J82" s="7">
        <f t="shared" si="29"/>
        <v>2.6972425145054758E-2</v>
      </c>
      <c r="K82" s="3"/>
      <c r="L82" s="8">
        <f t="shared" si="30"/>
        <v>4125.2299999999996</v>
      </c>
      <c r="M82" s="3"/>
      <c r="N82" s="7">
        <f t="shared" si="31"/>
        <v>1.0340866077583504</v>
      </c>
      <c r="O82" s="12"/>
      <c r="P82" s="8">
        <v>8114.48</v>
      </c>
      <c r="Q82" s="3"/>
      <c r="R82" s="7">
        <f t="shared" si="32"/>
        <v>6.5417867179594955E-2</v>
      </c>
      <c r="S82" s="3"/>
      <c r="T82" s="8">
        <v>3989.25</v>
      </c>
      <c r="U82" s="3"/>
      <c r="V82" s="7">
        <f t="shared" si="33"/>
        <v>2.6972425145054758E-2</v>
      </c>
      <c r="W82" s="3"/>
      <c r="X82" s="8">
        <f t="shared" si="34"/>
        <v>4125.2299999999996</v>
      </c>
      <c r="Y82" s="3"/>
      <c r="Z82" s="7">
        <f t="shared" si="35"/>
        <v>1.0340866077583504</v>
      </c>
    </row>
    <row r="83" spans="1:26" s="24" customFormat="1" hidden="1" outlineLevel="2" x14ac:dyDescent="0.3">
      <c r="A83" s="27"/>
      <c r="B83" s="12" t="str">
        <f>CONCATENATE("          ", "6005", " - ", "TEMPORARY WAGES-HOURLY")</f>
        <v xml:space="preserve">          6005 - TEMPORARY WAGES-HOURLY</v>
      </c>
      <c r="C83" s="12"/>
      <c r="D83" s="8">
        <v>2014.56</v>
      </c>
      <c r="E83" s="3"/>
      <c r="F83" s="7">
        <f t="shared" si="28"/>
        <v>1.6241116929898752E-2</v>
      </c>
      <c r="G83" s="3"/>
      <c r="H83" s="8">
        <v>726.82</v>
      </c>
      <c r="I83" s="3"/>
      <c r="J83" s="7">
        <f t="shared" si="29"/>
        <v>4.9142315081603565E-3</v>
      </c>
      <c r="K83" s="3"/>
      <c r="L83" s="8">
        <f t="shared" si="30"/>
        <v>1287.7399999999998</v>
      </c>
      <c r="M83" s="3"/>
      <c r="N83" s="7">
        <f t="shared" si="31"/>
        <v>1.7717454115186699</v>
      </c>
      <c r="O83" s="12"/>
      <c r="P83" s="8">
        <v>2014.56</v>
      </c>
      <c r="Q83" s="3"/>
      <c r="R83" s="7">
        <f t="shared" si="32"/>
        <v>1.6241116929898752E-2</v>
      </c>
      <c r="S83" s="3"/>
      <c r="T83" s="8">
        <v>726.82</v>
      </c>
      <c r="U83" s="3"/>
      <c r="V83" s="7">
        <f t="shared" si="33"/>
        <v>4.9142315081603565E-3</v>
      </c>
      <c r="W83" s="3"/>
      <c r="X83" s="8">
        <f t="shared" si="34"/>
        <v>1287.7399999999998</v>
      </c>
      <c r="Y83" s="3"/>
      <c r="Z83" s="7">
        <f t="shared" si="35"/>
        <v>1.7717454115186699</v>
      </c>
    </row>
    <row r="84" spans="1:26" s="24" customFormat="1" hidden="1" outlineLevel="2" x14ac:dyDescent="0.3">
      <c r="A84" s="27"/>
      <c r="B84" s="12" t="str">
        <f>CONCATENATE("          ", "6007", " - ", "STUDENT HOURLY")</f>
        <v xml:space="preserve">          6007 - STUDENT HOURLY</v>
      </c>
      <c r="C84" s="12"/>
      <c r="D84" s="8">
        <v>19302.939999999999</v>
      </c>
      <c r="E84" s="3"/>
      <c r="F84" s="7">
        <f t="shared" si="28"/>
        <v>0.15561775555496973</v>
      </c>
      <c r="G84" s="3"/>
      <c r="H84" s="8">
        <v>324</v>
      </c>
      <c r="I84" s="3"/>
      <c r="J84" s="7">
        <f t="shared" si="29"/>
        <v>2.1906538188876962E-3</v>
      </c>
      <c r="K84" s="3"/>
      <c r="L84" s="8">
        <f t="shared" si="30"/>
        <v>18978.939999999999</v>
      </c>
      <c r="M84" s="3"/>
      <c r="N84" s="7">
        <f t="shared" si="31"/>
        <v>58.57697530864197</v>
      </c>
      <c r="O84" s="12"/>
      <c r="P84" s="8">
        <v>19302.939999999999</v>
      </c>
      <c r="Q84" s="3"/>
      <c r="R84" s="7">
        <f t="shared" si="32"/>
        <v>0.15561775555496973</v>
      </c>
      <c r="S84" s="3"/>
      <c r="T84" s="8">
        <v>324</v>
      </c>
      <c r="U84" s="3"/>
      <c r="V84" s="7">
        <f t="shared" si="33"/>
        <v>2.1906538188876962E-3</v>
      </c>
      <c r="W84" s="3"/>
      <c r="X84" s="8">
        <f t="shared" si="34"/>
        <v>18978.939999999999</v>
      </c>
      <c r="Y84" s="3"/>
      <c r="Z84" s="7">
        <f t="shared" si="35"/>
        <v>58.57697530864197</v>
      </c>
    </row>
    <row r="85" spans="1:26" s="24" customFormat="1" hidden="1" outlineLevel="2" x14ac:dyDescent="0.3">
      <c r="A85" s="27"/>
      <c r="B85" s="12" t="str">
        <f>CONCATENATE("          ", "6008", " - ", "STUDENT HOURLY-FICA EXEMPT")</f>
        <v xml:space="preserve">          6008 - STUDENT HOURLY-FICA EXEMPT</v>
      </c>
      <c r="C85" s="12"/>
      <c r="D85" s="8">
        <v>7524.44</v>
      </c>
      <c r="E85" s="3"/>
      <c r="F85" s="7">
        <f t="shared" si="28"/>
        <v>6.0661042546266856E-2</v>
      </c>
      <c r="G85" s="3"/>
      <c r="H85" s="8"/>
      <c r="I85" s="3"/>
      <c r="J85" s="7">
        <f t="shared" si="29"/>
        <v>0</v>
      </c>
      <c r="K85" s="3"/>
      <c r="L85" s="8">
        <f t="shared" si="30"/>
        <v>7524.44</v>
      </c>
      <c r="M85" s="3"/>
      <c r="N85" s="7">
        <f t="shared" si="31"/>
        <v>0</v>
      </c>
      <c r="O85" s="12"/>
      <c r="P85" s="8">
        <v>7524.44</v>
      </c>
      <c r="Q85" s="3"/>
      <c r="R85" s="7">
        <f t="shared" si="32"/>
        <v>6.0661042546266856E-2</v>
      </c>
      <c r="S85" s="3"/>
      <c r="T85" s="8"/>
      <c r="U85" s="3"/>
      <c r="V85" s="7">
        <f t="shared" si="33"/>
        <v>0</v>
      </c>
      <c r="W85" s="3"/>
      <c r="X85" s="8">
        <f t="shared" si="34"/>
        <v>7524.44</v>
      </c>
      <c r="Y85" s="3"/>
      <c r="Z85" s="7">
        <f t="shared" si="35"/>
        <v>0</v>
      </c>
    </row>
    <row r="86" spans="1:26" s="29" customFormat="1" outlineLevel="1" collapsed="1" x14ac:dyDescent="0.3">
      <c r="A86" s="28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198.63</v>
      </c>
      <c r="E86" s="1"/>
      <c r="F86" s="5">
        <f t="shared" ref="F86:F94" si="36">IF(D$12=0,0,D86/D$12)</f>
        <v>1.6013288538369614E-3</v>
      </c>
      <c r="G86" s="1"/>
      <c r="H86" s="1">
        <f>SUM(OSRRefH22_2x_0)</f>
        <v>1340.93</v>
      </c>
      <c r="I86" s="1"/>
      <c r="J86" s="5">
        <f t="shared" ref="J86:J94" si="37">IF(H$12=0,0,H86/H$12)</f>
        <v>9.0663994609909825E-3</v>
      </c>
      <c r="K86" s="1"/>
      <c r="L86" s="1">
        <f t="shared" ref="L86:L94" si="38">+D86-H86</f>
        <v>-1142.3000000000002</v>
      </c>
      <c r="M86" s="1"/>
      <c r="N86" s="5">
        <f t="shared" ref="N86:N94" si="39">IF(H86=0,0,L86/H86)</f>
        <v>-0.85187146234329914</v>
      </c>
      <c r="O86" s="14"/>
      <c r="P86" s="1">
        <f>SUM(OSRRefP22_2x_0)</f>
        <v>198.63</v>
      </c>
      <c r="Q86" s="1"/>
      <c r="R86" s="5">
        <f t="shared" ref="R86:R94" si="40">IF(P$12=0,0,P86/P$12)</f>
        <v>1.6013288538369614E-3</v>
      </c>
      <c r="S86" s="1"/>
      <c r="T86" s="1">
        <f>SUM(OSRRefT22_2x_0)</f>
        <v>1340.93</v>
      </c>
      <c r="U86" s="1"/>
      <c r="V86" s="5">
        <f t="shared" ref="V86:V94" si="41">IF(T$12=0,0,T86/T$12)</f>
        <v>9.0663994609909825E-3</v>
      </c>
      <c r="W86" s="1"/>
      <c r="X86" s="1">
        <f t="shared" ref="X86:X94" si="42">+P86-T86</f>
        <v>-1142.3000000000002</v>
      </c>
      <c r="Y86" s="1"/>
      <c r="Z86" s="5">
        <f t="shared" ref="Z86:Z94" si="43">IF(T86=0,0,X86/T86)</f>
        <v>-0.85187146234329914</v>
      </c>
    </row>
    <row r="87" spans="1:26" s="24" customFormat="1" hidden="1" outlineLevel="2" x14ac:dyDescent="0.3">
      <c r="A87" s="27"/>
      <c r="B87" s="12" t="str">
        <f>CONCATENATE("          ", "6362", " - ", "ADVERTISING EXPENSE")</f>
        <v xml:space="preserve">          6362 - ADVERTISING EXPENSE</v>
      </c>
      <c r="C87" s="12"/>
      <c r="D87" s="8">
        <v>198.63</v>
      </c>
      <c r="E87" s="3"/>
      <c r="F87" s="7">
        <f t="shared" si="36"/>
        <v>1.6013288538369614E-3</v>
      </c>
      <c r="G87" s="3"/>
      <c r="H87" s="8">
        <v>1340.93</v>
      </c>
      <c r="I87" s="3"/>
      <c r="J87" s="7">
        <f t="shared" si="37"/>
        <v>9.0663994609909825E-3</v>
      </c>
      <c r="K87" s="3"/>
      <c r="L87" s="8">
        <f t="shared" si="38"/>
        <v>-1142.3000000000002</v>
      </c>
      <c r="M87" s="3"/>
      <c r="N87" s="7">
        <f t="shared" si="39"/>
        <v>-0.85187146234329914</v>
      </c>
      <c r="O87" s="12"/>
      <c r="P87" s="8">
        <v>198.63</v>
      </c>
      <c r="Q87" s="3"/>
      <c r="R87" s="7">
        <f t="shared" si="40"/>
        <v>1.6013288538369614E-3</v>
      </c>
      <c r="S87" s="3"/>
      <c r="T87" s="8">
        <v>1340.93</v>
      </c>
      <c r="U87" s="3"/>
      <c r="V87" s="7">
        <f t="shared" si="41"/>
        <v>9.0663994609909825E-3</v>
      </c>
      <c r="W87" s="3"/>
      <c r="X87" s="8">
        <f t="shared" si="42"/>
        <v>-1142.3000000000002</v>
      </c>
      <c r="Y87" s="3"/>
      <c r="Z87" s="7">
        <f t="shared" si="43"/>
        <v>-0.85187146234329914</v>
      </c>
    </row>
    <row r="88" spans="1:26" s="29" customFormat="1" outlineLevel="1" collapsed="1" x14ac:dyDescent="0.3">
      <c r="A88" s="28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SUM(OSRRefD22_3x_0)</f>
        <v>0</v>
      </c>
      <c r="E88" s="1"/>
      <c r="F88" s="5">
        <f t="shared" si="36"/>
        <v>0</v>
      </c>
      <c r="G88" s="1"/>
      <c r="H88" s="1">
        <f>SUM(OSRRefH22_3x_0)</f>
        <v>0</v>
      </c>
      <c r="I88" s="1"/>
      <c r="J88" s="5">
        <f t="shared" si="37"/>
        <v>0</v>
      </c>
      <c r="K88" s="1"/>
      <c r="L88" s="1">
        <f t="shared" si="38"/>
        <v>0</v>
      </c>
      <c r="M88" s="1"/>
      <c r="N88" s="5">
        <f t="shared" si="39"/>
        <v>0</v>
      </c>
      <c r="O88" s="14"/>
      <c r="P88" s="1">
        <f>SUM(OSRRefP22_3x_0)</f>
        <v>0</v>
      </c>
      <c r="Q88" s="1"/>
      <c r="R88" s="5">
        <f t="shared" si="40"/>
        <v>0</v>
      </c>
      <c r="S88" s="1"/>
      <c r="T88" s="1">
        <f>SUM(OSRRefT22_3x_0)</f>
        <v>0</v>
      </c>
      <c r="U88" s="1"/>
      <c r="V88" s="5">
        <f t="shared" si="41"/>
        <v>0</v>
      </c>
      <c r="W88" s="1"/>
      <c r="X88" s="1">
        <f t="shared" si="42"/>
        <v>0</v>
      </c>
      <c r="Y88" s="1"/>
      <c r="Z88" s="5">
        <f t="shared" si="43"/>
        <v>0</v>
      </c>
    </row>
    <row r="89" spans="1:26" s="24" customFormat="1" hidden="1" outlineLevel="2" x14ac:dyDescent="0.3">
      <c r="A89" s="27"/>
      <c r="B89" s="12" t="str">
        <f>CONCATENATE("          ", "6382", " - ", "DISCOUNTS/MARK DOWNS")</f>
        <v xml:space="preserve">          6382 - DISCOUNTS/MARK DOWNS</v>
      </c>
      <c r="C89" s="12"/>
      <c r="D89" s="8"/>
      <c r="E89" s="3"/>
      <c r="F89" s="7">
        <f t="shared" si="36"/>
        <v>0</v>
      </c>
      <c r="G89" s="3"/>
      <c r="H89" s="8">
        <v>0</v>
      </c>
      <c r="I89" s="3"/>
      <c r="J89" s="7">
        <f t="shared" si="37"/>
        <v>0</v>
      </c>
      <c r="K89" s="3"/>
      <c r="L89" s="8">
        <f t="shared" si="38"/>
        <v>0</v>
      </c>
      <c r="M89" s="3"/>
      <c r="N89" s="7">
        <f t="shared" si="39"/>
        <v>0</v>
      </c>
      <c r="O89" s="12"/>
      <c r="P89" s="8"/>
      <c r="Q89" s="3"/>
      <c r="R89" s="7">
        <f t="shared" si="40"/>
        <v>0</v>
      </c>
      <c r="S89" s="3"/>
      <c r="T89" s="8">
        <v>0</v>
      </c>
      <c r="U89" s="3"/>
      <c r="V89" s="7">
        <f t="shared" si="41"/>
        <v>0</v>
      </c>
      <c r="W89" s="3"/>
      <c r="X89" s="8">
        <f t="shared" si="42"/>
        <v>0</v>
      </c>
      <c r="Y89" s="3"/>
      <c r="Z89" s="7">
        <f t="shared" si="43"/>
        <v>0</v>
      </c>
    </row>
    <row r="90" spans="1:26" s="29" customFormat="1" outlineLevel="1" collapsed="1" x14ac:dyDescent="0.3">
      <c r="A90" s="28"/>
      <c r="B90" s="14" t="str">
        <f>CONCATENATE("     ","Employees' Appreciation                           ")</f>
        <v xml:space="preserve">     Employees' Appreciation                           </v>
      </c>
      <c r="C90" s="14"/>
      <c r="D90" s="1">
        <f>SUM(OSRRefD22_4x_0)</f>
        <v>216.44</v>
      </c>
      <c r="E90" s="1"/>
      <c r="F90" s="5">
        <f t="shared" si="36"/>
        <v>1.7449107240823237E-3</v>
      </c>
      <c r="G90" s="1"/>
      <c r="H90" s="1">
        <f>SUM(OSRRefH22_4x_0)</f>
        <v>0</v>
      </c>
      <c r="I90" s="1"/>
      <c r="J90" s="5">
        <f t="shared" si="37"/>
        <v>0</v>
      </c>
      <c r="K90" s="1"/>
      <c r="L90" s="1">
        <f t="shared" si="38"/>
        <v>216.44</v>
      </c>
      <c r="M90" s="1"/>
      <c r="N90" s="5">
        <f t="shared" si="39"/>
        <v>0</v>
      </c>
      <c r="O90" s="14"/>
      <c r="P90" s="1">
        <f>SUM(OSRRefP22_4x_0)</f>
        <v>216.44</v>
      </c>
      <c r="Q90" s="1"/>
      <c r="R90" s="5">
        <f t="shared" si="40"/>
        <v>1.7449107240823237E-3</v>
      </c>
      <c r="S90" s="1"/>
      <c r="T90" s="1">
        <f>SUM(OSRRefT22_4x_0)</f>
        <v>0</v>
      </c>
      <c r="U90" s="1"/>
      <c r="V90" s="5">
        <f t="shared" si="41"/>
        <v>0</v>
      </c>
      <c r="W90" s="1"/>
      <c r="X90" s="1">
        <f t="shared" si="42"/>
        <v>216.44</v>
      </c>
      <c r="Y90" s="1"/>
      <c r="Z90" s="5">
        <f t="shared" si="43"/>
        <v>0</v>
      </c>
    </row>
    <row r="91" spans="1:26" s="24" customFormat="1" hidden="1" outlineLevel="2" x14ac:dyDescent="0.3">
      <c r="A91" s="27"/>
      <c r="B91" s="12" t="str">
        <f>CONCATENATE("          ", "6277", " - ", "EMPLOYEE APPRECIATION")</f>
        <v xml:space="preserve">          6277 - EMPLOYEE APPRECIATION</v>
      </c>
      <c r="C91" s="12"/>
      <c r="D91" s="8">
        <v>216.44</v>
      </c>
      <c r="E91" s="3"/>
      <c r="F91" s="7">
        <f t="shared" si="36"/>
        <v>1.7449107240823237E-3</v>
      </c>
      <c r="G91" s="3"/>
      <c r="H91" s="8"/>
      <c r="I91" s="3"/>
      <c r="J91" s="7">
        <f t="shared" si="37"/>
        <v>0</v>
      </c>
      <c r="K91" s="3"/>
      <c r="L91" s="8">
        <f t="shared" si="38"/>
        <v>216.44</v>
      </c>
      <c r="M91" s="3"/>
      <c r="N91" s="7">
        <f t="shared" si="39"/>
        <v>0</v>
      </c>
      <c r="O91" s="12"/>
      <c r="P91" s="8">
        <v>216.44</v>
      </c>
      <c r="Q91" s="3"/>
      <c r="R91" s="7">
        <f t="shared" si="40"/>
        <v>1.7449107240823237E-3</v>
      </c>
      <c r="S91" s="3"/>
      <c r="T91" s="8"/>
      <c r="U91" s="3"/>
      <c r="V91" s="7">
        <f t="shared" si="41"/>
        <v>0</v>
      </c>
      <c r="W91" s="3"/>
      <c r="X91" s="8">
        <f t="shared" si="42"/>
        <v>216.44</v>
      </c>
      <c r="Y91" s="3"/>
      <c r="Z91" s="7">
        <f t="shared" si="43"/>
        <v>0</v>
      </c>
    </row>
    <row r="92" spans="1:26" s="29" customFormat="1" outlineLevel="1" collapsed="1" x14ac:dyDescent="0.3">
      <c r="A92" s="28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SUM(OSRRefD22_5x_0)</f>
        <v>857.13</v>
      </c>
      <c r="E92" s="1"/>
      <c r="F92" s="5">
        <f t="shared" si="36"/>
        <v>6.9100689749246073E-3</v>
      </c>
      <c r="G92" s="1"/>
      <c r="H92" s="1">
        <f>SUM(OSRRefH22_5x_0)</f>
        <v>16.39</v>
      </c>
      <c r="I92" s="1"/>
      <c r="J92" s="5">
        <f t="shared" si="37"/>
        <v>1.1081733361595476E-4</v>
      </c>
      <c r="K92" s="1"/>
      <c r="L92" s="1">
        <f t="shared" si="38"/>
        <v>840.74</v>
      </c>
      <c r="M92" s="1"/>
      <c r="N92" s="5">
        <f t="shared" si="39"/>
        <v>51.295912141549721</v>
      </c>
      <c r="O92" s="14"/>
      <c r="P92" s="1">
        <f>SUM(OSRRefP22_5x_0)</f>
        <v>857.13</v>
      </c>
      <c r="Q92" s="1"/>
      <c r="R92" s="5">
        <f t="shared" si="40"/>
        <v>6.9100689749246073E-3</v>
      </c>
      <c r="S92" s="1"/>
      <c r="T92" s="1">
        <f>SUM(OSRRefT22_5x_0)</f>
        <v>16.39</v>
      </c>
      <c r="U92" s="1"/>
      <c r="V92" s="5">
        <f t="shared" si="41"/>
        <v>1.1081733361595476E-4</v>
      </c>
      <c r="W92" s="1"/>
      <c r="X92" s="1">
        <f t="shared" si="42"/>
        <v>840.74</v>
      </c>
      <c r="Y92" s="1"/>
      <c r="Z92" s="5">
        <f t="shared" si="43"/>
        <v>51.295912141549721</v>
      </c>
    </row>
    <row r="93" spans="1:26" s="24" customFormat="1" hidden="1" outlineLevel="2" x14ac:dyDescent="0.3">
      <c r="A93" s="27"/>
      <c r="B93" s="12" t="str">
        <f>CONCATENATE("          ", "6305", " - ", "FREIGHT OUT")</f>
        <v xml:space="preserve">          6305 - FREIGHT OUT</v>
      </c>
      <c r="C93" s="12"/>
      <c r="D93" s="8">
        <v>845.71</v>
      </c>
      <c r="E93" s="3"/>
      <c r="F93" s="7">
        <f t="shared" si="36"/>
        <v>6.8180024416173626E-3</v>
      </c>
      <c r="G93" s="3"/>
      <c r="H93" s="8">
        <v>16.39</v>
      </c>
      <c r="I93" s="3"/>
      <c r="J93" s="7">
        <f t="shared" si="37"/>
        <v>1.1081733361595476E-4</v>
      </c>
      <c r="K93" s="3"/>
      <c r="L93" s="8">
        <f t="shared" si="38"/>
        <v>829.32</v>
      </c>
      <c r="M93" s="3"/>
      <c r="N93" s="7">
        <f t="shared" si="39"/>
        <v>50.599145820622333</v>
      </c>
      <c r="O93" s="12"/>
      <c r="P93" s="8">
        <v>845.71</v>
      </c>
      <c r="Q93" s="3"/>
      <c r="R93" s="7">
        <f t="shared" si="40"/>
        <v>6.8180024416173626E-3</v>
      </c>
      <c r="S93" s="3"/>
      <c r="T93" s="8">
        <v>16.39</v>
      </c>
      <c r="U93" s="3"/>
      <c r="V93" s="7">
        <f t="shared" si="41"/>
        <v>1.1081733361595476E-4</v>
      </c>
      <c r="W93" s="3"/>
      <c r="X93" s="8">
        <f t="shared" si="42"/>
        <v>829.32</v>
      </c>
      <c r="Y93" s="3"/>
      <c r="Z93" s="7">
        <f t="shared" si="43"/>
        <v>50.599145820622333</v>
      </c>
    </row>
    <row r="94" spans="1:26" s="24" customFormat="1" hidden="1" outlineLevel="2" x14ac:dyDescent="0.3">
      <c r="A94" s="27"/>
      <c r="B94" s="12" t="str">
        <f>CONCATENATE("          ", "6307", " - ", "POSTAGE")</f>
        <v xml:space="preserve">          6307 - POSTAGE</v>
      </c>
      <c r="C94" s="12"/>
      <c r="D94" s="8">
        <v>11.42</v>
      </c>
      <c r="E94" s="3"/>
      <c r="F94" s="7">
        <f t="shared" si="36"/>
        <v>9.2066533307245136E-5</v>
      </c>
      <c r="G94" s="3"/>
      <c r="H94" s="8"/>
      <c r="I94" s="3"/>
      <c r="J94" s="7">
        <f t="shared" si="37"/>
        <v>0</v>
      </c>
      <c r="K94" s="3"/>
      <c r="L94" s="8">
        <f t="shared" si="38"/>
        <v>11.42</v>
      </c>
      <c r="M94" s="3"/>
      <c r="N94" s="7">
        <f t="shared" si="39"/>
        <v>0</v>
      </c>
      <c r="O94" s="12"/>
      <c r="P94" s="8">
        <v>11.42</v>
      </c>
      <c r="Q94" s="3"/>
      <c r="R94" s="7">
        <f t="shared" si="40"/>
        <v>9.2066533307245136E-5</v>
      </c>
      <c r="S94" s="3"/>
      <c r="T94" s="8"/>
      <c r="U94" s="3"/>
      <c r="V94" s="7">
        <f t="shared" si="41"/>
        <v>0</v>
      </c>
      <c r="W94" s="3"/>
      <c r="X94" s="8">
        <f t="shared" si="42"/>
        <v>11.42</v>
      </c>
      <c r="Y94" s="3"/>
      <c r="Z94" s="7">
        <f t="shared" si="43"/>
        <v>0</v>
      </c>
    </row>
    <row r="95" spans="1:26" s="29" customFormat="1" outlineLevel="1" collapsed="1" x14ac:dyDescent="0.3">
      <c r="A95" s="28"/>
      <c r="B95" s="14" t="str">
        <f>CONCATENATE("     ","Inventory Adjustment                              ")</f>
        <v xml:space="preserve">     Inventory Adjustment                              </v>
      </c>
      <c r="C95" s="14"/>
      <c r="D95" s="1">
        <f>SUM(OSRRefD22_6x_0)</f>
        <v>3350</v>
      </c>
      <c r="E95" s="1"/>
      <c r="F95" s="5">
        <f t="shared" ref="F95:F97" si="44">IF(D$12=0,0,D95/D$12)</f>
        <v>2.700725801920063E-2</v>
      </c>
      <c r="G95" s="1"/>
      <c r="H95" s="1">
        <f>SUM(OSRRefH22_6x_0)</f>
        <v>1000</v>
      </c>
      <c r="I95" s="1"/>
      <c r="J95" s="5">
        <f t="shared" ref="J95:J97" si="45">IF(H$12=0,0,H95/H$12)</f>
        <v>6.761277218789186E-3</v>
      </c>
      <c r="K95" s="1"/>
      <c r="L95" s="1">
        <f t="shared" ref="L95:L97" si="46">+D95-H95</f>
        <v>2350</v>
      </c>
      <c r="M95" s="1"/>
      <c r="N95" s="5">
        <f t="shared" ref="N95:N97" si="47">IF(H95=0,0,L95/H95)</f>
        <v>2.35</v>
      </c>
      <c r="O95" s="14"/>
      <c r="P95" s="1">
        <f>SUM(OSRRefP22_6x_0)</f>
        <v>3350</v>
      </c>
      <c r="Q95" s="1"/>
      <c r="R95" s="5">
        <f t="shared" ref="R95:R97" si="48">IF(P$12=0,0,P95/P$12)</f>
        <v>2.700725801920063E-2</v>
      </c>
      <c r="S95" s="1"/>
      <c r="T95" s="1">
        <f>SUM(OSRRefT22_6x_0)</f>
        <v>1000</v>
      </c>
      <c r="U95" s="1"/>
      <c r="V95" s="5">
        <f t="shared" ref="V95:V97" si="49">IF(T$12=0,0,T95/T$12)</f>
        <v>6.761277218789186E-3</v>
      </c>
      <c r="W95" s="1"/>
      <c r="X95" s="1">
        <f t="shared" ref="X95:X97" si="50">+P95-T95</f>
        <v>2350</v>
      </c>
      <c r="Y95" s="1"/>
      <c r="Z95" s="5">
        <f t="shared" ref="Z95:Z97" si="51">IF(T95=0,0,X95/T95)</f>
        <v>2.35</v>
      </c>
    </row>
    <row r="96" spans="1:26" s="24" customFormat="1" hidden="1" outlineLevel="2" x14ac:dyDescent="0.3">
      <c r="A96" s="27"/>
      <c r="B96" s="12" t="str">
        <f>CONCATENATE("          ", "6408", " - ", "INVENTORY ADJUSTMENT")</f>
        <v xml:space="preserve">          6408 - INVENTORY ADJUSTMENT</v>
      </c>
      <c r="C96" s="12"/>
      <c r="D96" s="8">
        <v>3350</v>
      </c>
      <c r="E96" s="3"/>
      <c r="F96" s="7">
        <f t="shared" si="44"/>
        <v>2.700725801920063E-2</v>
      </c>
      <c r="G96" s="3"/>
      <c r="H96" s="8">
        <v>1000</v>
      </c>
      <c r="I96" s="3"/>
      <c r="J96" s="7">
        <f t="shared" si="45"/>
        <v>6.761277218789186E-3</v>
      </c>
      <c r="K96" s="3"/>
      <c r="L96" s="8">
        <f t="shared" si="46"/>
        <v>2350</v>
      </c>
      <c r="M96" s="3"/>
      <c r="N96" s="7">
        <f t="shared" si="47"/>
        <v>2.35</v>
      </c>
      <c r="O96" s="12"/>
      <c r="P96" s="8">
        <v>3350</v>
      </c>
      <c r="Q96" s="3"/>
      <c r="R96" s="7">
        <f t="shared" si="48"/>
        <v>2.700725801920063E-2</v>
      </c>
      <c r="S96" s="3"/>
      <c r="T96" s="8">
        <v>1000</v>
      </c>
      <c r="U96" s="3"/>
      <c r="V96" s="7">
        <f t="shared" si="49"/>
        <v>6.761277218789186E-3</v>
      </c>
      <c r="W96" s="3"/>
      <c r="X96" s="8">
        <f t="shared" si="50"/>
        <v>2350</v>
      </c>
      <c r="Y96" s="3"/>
      <c r="Z96" s="7">
        <f t="shared" si="51"/>
        <v>2.35</v>
      </c>
    </row>
    <row r="97" spans="1:26" s="24" customFormat="1" hidden="1" outlineLevel="2" x14ac:dyDescent="0.3">
      <c r="A97" s="27"/>
      <c r="B97" s="12" t="str">
        <f>CONCATENATE("          ", "7741", " - ", "INV. SHRINKAGE-LOGO GIFTS")</f>
        <v xml:space="preserve">          7741 - INV. SHRINKAGE-LOGO GIFTS</v>
      </c>
      <c r="C97" s="12"/>
      <c r="D97" s="8"/>
      <c r="E97" s="3"/>
      <c r="F97" s="7">
        <f t="shared" si="44"/>
        <v>0</v>
      </c>
      <c r="G97" s="3"/>
      <c r="H97" s="8">
        <v>0</v>
      </c>
      <c r="I97" s="3"/>
      <c r="J97" s="7">
        <f t="shared" si="45"/>
        <v>0</v>
      </c>
      <c r="K97" s="3"/>
      <c r="L97" s="8">
        <f t="shared" si="46"/>
        <v>0</v>
      </c>
      <c r="M97" s="3"/>
      <c r="N97" s="7">
        <f t="shared" si="47"/>
        <v>0</v>
      </c>
      <c r="O97" s="12"/>
      <c r="P97" s="8"/>
      <c r="Q97" s="3"/>
      <c r="R97" s="7">
        <f t="shared" si="48"/>
        <v>0</v>
      </c>
      <c r="S97" s="3"/>
      <c r="T97" s="8">
        <v>0</v>
      </c>
      <c r="U97" s="3"/>
      <c r="V97" s="7">
        <f t="shared" si="49"/>
        <v>0</v>
      </c>
      <c r="W97" s="3"/>
      <c r="X97" s="8">
        <f t="shared" si="50"/>
        <v>0</v>
      </c>
      <c r="Y97" s="3"/>
      <c r="Z97" s="7">
        <f t="shared" si="51"/>
        <v>0</v>
      </c>
    </row>
    <row r="98" spans="1:26" s="29" customFormat="1" outlineLevel="1" collapsed="1" x14ac:dyDescent="0.3">
      <c r="A98" s="28"/>
      <c r="B98" s="14" t="str">
        <f>CONCATENATE("     ","Royalty &amp; Commissions                             ")</f>
        <v xml:space="preserve">     Royalty &amp; Commissions                             </v>
      </c>
      <c r="C98" s="14"/>
      <c r="D98" s="1">
        <f>SUM(OSRRefD22_7x_0)</f>
        <v>7349.0400000000009</v>
      </c>
      <c r="E98" s="1"/>
      <c r="F98" s="5">
        <f t="shared" ref="F98:F100" si="52">IF(D$12=0,0,D98/D$12)</f>
        <v>5.9246990887589918E-2</v>
      </c>
      <c r="G98" s="1"/>
      <c r="H98" s="1">
        <f>SUM(OSRRefH22_7x_0)</f>
        <v>5672.2</v>
      </c>
      <c r="I98" s="1"/>
      <c r="J98" s="5">
        <f t="shared" ref="J98:J100" si="53">IF(H$12=0,0,H98/H$12)</f>
        <v>3.8351316640416015E-2</v>
      </c>
      <c r="K98" s="1"/>
      <c r="L98" s="1">
        <f t="shared" ref="L98:L100" si="54">+D98-H98</f>
        <v>1676.8400000000011</v>
      </c>
      <c r="M98" s="1"/>
      <c r="N98" s="5">
        <f t="shared" ref="N98:N100" si="55">IF(H98=0,0,L98/H98)</f>
        <v>0.29562427276894349</v>
      </c>
      <c r="O98" s="14"/>
      <c r="P98" s="1">
        <f>SUM(OSRRefP22_7x_0)</f>
        <v>7349.0400000000009</v>
      </c>
      <c r="Q98" s="1"/>
      <c r="R98" s="5">
        <f t="shared" ref="R98:R100" si="56">IF(P$12=0,0,P98/P$12)</f>
        <v>5.9246990887589918E-2</v>
      </c>
      <c r="S98" s="1"/>
      <c r="T98" s="1">
        <f>SUM(OSRRefT22_7x_0)</f>
        <v>5672.2</v>
      </c>
      <c r="U98" s="1"/>
      <c r="V98" s="5">
        <f t="shared" ref="V98:V100" si="57">IF(T$12=0,0,T98/T$12)</f>
        <v>3.8351316640416015E-2</v>
      </c>
      <c r="W98" s="1"/>
      <c r="X98" s="1">
        <f t="shared" ref="X98:X100" si="58">+P98-T98</f>
        <v>1676.8400000000011</v>
      </c>
      <c r="Y98" s="1"/>
      <c r="Z98" s="5">
        <f t="shared" ref="Z98:Z100" si="59">IF(T98=0,0,X98/T98)</f>
        <v>0.29562427276894349</v>
      </c>
    </row>
    <row r="99" spans="1:26" s="24" customFormat="1" hidden="1" outlineLevel="2" x14ac:dyDescent="0.3">
      <c r="A99" s="27"/>
      <c r="B99" s="12" t="str">
        <f>CONCATENATE("          ", "6253", " - ", "ROYALTY DUE ATHLETICS-LRG")</f>
        <v xml:space="preserve">          6253 - ROYALTY DUE ATHLETICS-LRG</v>
      </c>
      <c r="C99" s="12"/>
      <c r="D99" s="8">
        <v>14376.54</v>
      </c>
      <c r="E99" s="3"/>
      <c r="F99" s="7">
        <f t="shared" si="52"/>
        <v>0.11590176871742049</v>
      </c>
      <c r="G99" s="3"/>
      <c r="H99" s="8">
        <v>5672.2</v>
      </c>
      <c r="I99" s="3"/>
      <c r="J99" s="7">
        <f t="shared" si="53"/>
        <v>3.8351316640416015E-2</v>
      </c>
      <c r="K99" s="3"/>
      <c r="L99" s="8">
        <f t="shared" si="54"/>
        <v>8704.34</v>
      </c>
      <c r="M99" s="3"/>
      <c r="N99" s="7">
        <f t="shared" si="55"/>
        <v>1.5345615457847044</v>
      </c>
      <c r="O99" s="12"/>
      <c r="P99" s="8">
        <v>14376.54</v>
      </c>
      <c r="Q99" s="3"/>
      <c r="R99" s="7">
        <f t="shared" si="56"/>
        <v>0.11590176871742049</v>
      </c>
      <c r="S99" s="3"/>
      <c r="T99" s="8">
        <v>5672.2</v>
      </c>
      <c r="U99" s="3"/>
      <c r="V99" s="7">
        <f t="shared" si="57"/>
        <v>3.8351316640416015E-2</v>
      </c>
      <c r="W99" s="3"/>
      <c r="X99" s="8">
        <f t="shared" si="58"/>
        <v>8704.34</v>
      </c>
      <c r="Y99" s="3"/>
      <c r="Z99" s="7">
        <f t="shared" si="59"/>
        <v>1.5345615457847044</v>
      </c>
    </row>
    <row r="100" spans="1:26" s="24" customFormat="1" hidden="1" outlineLevel="2" x14ac:dyDescent="0.3">
      <c r="A100" s="27"/>
      <c r="B100" s="12" t="str">
        <f>CONCATENATE("          ", "6254", " - ", "ROYALTY &amp; COMMISSIONS")</f>
        <v xml:space="preserve">          6254 - ROYALTY &amp; COMMISSIONS</v>
      </c>
      <c r="C100" s="12"/>
      <c r="D100" s="8">
        <v>-7027.5</v>
      </c>
      <c r="E100" s="3"/>
      <c r="F100" s="7">
        <f t="shared" si="52"/>
        <v>-5.6654777829830576E-2</v>
      </c>
      <c r="G100" s="3"/>
      <c r="H100" s="8"/>
      <c r="I100" s="3"/>
      <c r="J100" s="7">
        <f t="shared" si="53"/>
        <v>0</v>
      </c>
      <c r="K100" s="3"/>
      <c r="L100" s="8">
        <f t="shared" si="54"/>
        <v>-7027.5</v>
      </c>
      <c r="M100" s="3"/>
      <c r="N100" s="7">
        <f t="shared" si="55"/>
        <v>0</v>
      </c>
      <c r="O100" s="12"/>
      <c r="P100" s="8">
        <v>-7027.5</v>
      </c>
      <c r="Q100" s="3"/>
      <c r="R100" s="7">
        <f t="shared" si="56"/>
        <v>-5.6654777829830576E-2</v>
      </c>
      <c r="S100" s="3"/>
      <c r="T100" s="8"/>
      <c r="U100" s="3"/>
      <c r="V100" s="7">
        <f t="shared" si="57"/>
        <v>0</v>
      </c>
      <c r="W100" s="3"/>
      <c r="X100" s="8">
        <f t="shared" si="58"/>
        <v>-7027.5</v>
      </c>
      <c r="Y100" s="3"/>
      <c r="Z100" s="7">
        <f t="shared" si="59"/>
        <v>0</v>
      </c>
    </row>
    <row r="101" spans="1:26" s="29" customFormat="1" outlineLevel="1" collapsed="1" x14ac:dyDescent="0.3">
      <c r="A101" s="28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SUM(OSRRefD22_8x_0)</f>
        <v>2351.0099999999998</v>
      </c>
      <c r="E101" s="1"/>
      <c r="F101" s="5">
        <f t="shared" ref="F101:F104" si="60">IF(D$12=0,0,D101/D$12)</f>
        <v>1.895353244051369E-2</v>
      </c>
      <c r="G101" s="1"/>
      <c r="H101" s="1">
        <f>SUM(OSRRefH22_8x_0)</f>
        <v>1009.76</v>
      </c>
      <c r="I101" s="1"/>
      <c r="J101" s="5">
        <f t="shared" ref="J101:J104" si="61">IF(H$12=0,0,H101/H$12)</f>
        <v>6.8272672844445683E-3</v>
      </c>
      <c r="K101" s="1"/>
      <c r="L101" s="1">
        <f t="shared" ref="L101:L104" si="62">+D101-H101</f>
        <v>1341.2499999999998</v>
      </c>
      <c r="M101" s="1"/>
      <c r="N101" s="5">
        <f t="shared" ref="N101:N104" si="63">IF(H101=0,0,L101/H101)</f>
        <v>1.3282859293297415</v>
      </c>
      <c r="O101" s="14"/>
      <c r="P101" s="1">
        <f>SUM(OSRRefP22_8x_0)</f>
        <v>2351.0099999999998</v>
      </c>
      <c r="Q101" s="1"/>
      <c r="R101" s="5">
        <f t="shared" ref="R101:R104" si="64">IF(P$12=0,0,P101/P$12)</f>
        <v>1.895353244051369E-2</v>
      </c>
      <c r="S101" s="1"/>
      <c r="T101" s="1">
        <f>SUM(OSRRefT22_8x_0)</f>
        <v>1009.76</v>
      </c>
      <c r="U101" s="1"/>
      <c r="V101" s="5">
        <f t="shared" ref="V101:V104" si="65">IF(T$12=0,0,T101/T$12)</f>
        <v>6.8272672844445683E-3</v>
      </c>
      <c r="W101" s="1"/>
      <c r="X101" s="1">
        <f t="shared" ref="X101:X104" si="66">+P101-T101</f>
        <v>1341.2499999999998</v>
      </c>
      <c r="Y101" s="1"/>
      <c r="Z101" s="5">
        <f t="shared" ref="Z101:Z104" si="67">IF(T101=0,0,X101/T101)</f>
        <v>1.3282859293297415</v>
      </c>
    </row>
    <row r="102" spans="1:26" s="24" customFormat="1" hidden="1" outlineLevel="2" x14ac:dyDescent="0.3">
      <c r="A102" s="27"/>
      <c r="B102" s="12" t="str">
        <f>CONCATENATE("          ", "6235", " - ", "COVID-19 EXPENSES")</f>
        <v xml:space="preserve">          6235 - COVID-19 EXPENSES</v>
      </c>
      <c r="C102" s="12"/>
      <c r="D102" s="8"/>
      <c r="E102" s="3"/>
      <c r="F102" s="7">
        <f t="shared" si="60"/>
        <v>0</v>
      </c>
      <c r="G102" s="3"/>
      <c r="H102" s="8">
        <v>961.38</v>
      </c>
      <c r="I102" s="3"/>
      <c r="J102" s="7">
        <f t="shared" si="61"/>
        <v>6.5001566925995471E-3</v>
      </c>
      <c r="K102" s="3"/>
      <c r="L102" s="8">
        <f t="shared" si="62"/>
        <v>-961.38</v>
      </c>
      <c r="M102" s="3"/>
      <c r="N102" s="7">
        <f t="shared" si="63"/>
        <v>-1</v>
      </c>
      <c r="O102" s="12"/>
      <c r="P102" s="8"/>
      <c r="Q102" s="3"/>
      <c r="R102" s="7">
        <f t="shared" si="64"/>
        <v>0</v>
      </c>
      <c r="S102" s="3"/>
      <c r="T102" s="8">
        <v>961.38</v>
      </c>
      <c r="U102" s="3"/>
      <c r="V102" s="7">
        <f t="shared" si="65"/>
        <v>6.5001566925995471E-3</v>
      </c>
      <c r="W102" s="3"/>
      <c r="X102" s="8">
        <f t="shared" si="66"/>
        <v>-961.38</v>
      </c>
      <c r="Y102" s="3"/>
      <c r="Z102" s="7">
        <f t="shared" si="67"/>
        <v>-1</v>
      </c>
    </row>
    <row r="103" spans="1:26" s="24" customFormat="1" hidden="1" outlineLevel="2" x14ac:dyDescent="0.3">
      <c r="A103" s="27"/>
      <c r="B103" s="12" t="str">
        <f>CONCATENATE("          ", "6241", " - ", "OFFICE EXPENSE")</f>
        <v xml:space="preserve">          6241 - OFFICE EXPENSE</v>
      </c>
      <c r="C103" s="12"/>
      <c r="D103" s="8">
        <v>124.89</v>
      </c>
      <c r="E103" s="3"/>
      <c r="F103" s="7">
        <f t="shared" si="60"/>
        <v>1.0068467026919303E-3</v>
      </c>
      <c r="G103" s="3"/>
      <c r="H103" s="8">
        <v>48.38</v>
      </c>
      <c r="I103" s="3"/>
      <c r="J103" s="7">
        <f t="shared" si="61"/>
        <v>3.2711059184502083E-4</v>
      </c>
      <c r="K103" s="3"/>
      <c r="L103" s="8">
        <f t="shared" si="62"/>
        <v>76.509999999999991</v>
      </c>
      <c r="M103" s="3"/>
      <c r="N103" s="7">
        <f t="shared" si="63"/>
        <v>1.5814386109962792</v>
      </c>
      <c r="O103" s="12"/>
      <c r="P103" s="8">
        <v>124.89</v>
      </c>
      <c r="Q103" s="3"/>
      <c r="R103" s="7">
        <f t="shared" si="64"/>
        <v>1.0068467026919303E-3</v>
      </c>
      <c r="S103" s="3"/>
      <c r="T103" s="8">
        <v>48.38</v>
      </c>
      <c r="U103" s="3"/>
      <c r="V103" s="7">
        <f t="shared" si="65"/>
        <v>3.2711059184502083E-4</v>
      </c>
      <c r="W103" s="3"/>
      <c r="X103" s="8">
        <f t="shared" si="66"/>
        <v>76.509999999999991</v>
      </c>
      <c r="Y103" s="3"/>
      <c r="Z103" s="7">
        <f t="shared" si="67"/>
        <v>1.5814386109962792</v>
      </c>
    </row>
    <row r="104" spans="1:26" s="24" customFormat="1" hidden="1" outlineLevel="2" x14ac:dyDescent="0.3">
      <c r="A104" s="27"/>
      <c r="B104" s="12" t="str">
        <f>CONCATENATE("          ", "6247", " - ", "STORE SUPPLIES")</f>
        <v xml:space="preserve">          6247 - STORE SUPPLIES</v>
      </c>
      <c r="C104" s="12"/>
      <c r="D104" s="8">
        <v>2226.12</v>
      </c>
      <c r="E104" s="3"/>
      <c r="F104" s="7">
        <f t="shared" si="60"/>
        <v>1.7946685737821762E-2</v>
      </c>
      <c r="G104" s="3"/>
      <c r="H104" s="8"/>
      <c r="I104" s="3"/>
      <c r="J104" s="7">
        <f t="shared" si="61"/>
        <v>0</v>
      </c>
      <c r="K104" s="3"/>
      <c r="L104" s="8">
        <f t="shared" si="62"/>
        <v>2226.12</v>
      </c>
      <c r="M104" s="3"/>
      <c r="N104" s="7">
        <f t="shared" si="63"/>
        <v>0</v>
      </c>
      <c r="O104" s="12"/>
      <c r="P104" s="8">
        <v>2226.12</v>
      </c>
      <c r="Q104" s="3"/>
      <c r="R104" s="7">
        <f t="shared" si="64"/>
        <v>1.7946685737821762E-2</v>
      </c>
      <c r="S104" s="3"/>
      <c r="T104" s="8"/>
      <c r="U104" s="3"/>
      <c r="V104" s="7">
        <f t="shared" si="65"/>
        <v>0</v>
      </c>
      <c r="W104" s="3"/>
      <c r="X104" s="8">
        <f t="shared" si="66"/>
        <v>2226.12</v>
      </c>
      <c r="Y104" s="3"/>
      <c r="Z104" s="7">
        <f t="shared" si="67"/>
        <v>0</v>
      </c>
    </row>
    <row r="105" spans="1:26" s="29" customFormat="1" outlineLevel="1" collapsed="1" x14ac:dyDescent="0.3">
      <c r="A105" s="28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SUM(OSRRefD22_9x_0)</f>
        <v>-125.95</v>
      </c>
      <c r="E105" s="1"/>
      <c r="F105" s="5">
        <f t="shared" ref="F105:F108" si="68">IF(D$12=0,0,D105/D$12)</f>
        <v>-1.0153922828412894E-3</v>
      </c>
      <c r="G105" s="1"/>
      <c r="H105" s="1">
        <f>SUM(OSRRefH22_9x_0)</f>
        <v>514.22</v>
      </c>
      <c r="I105" s="1"/>
      <c r="J105" s="5">
        <f t="shared" ref="J105:J108" si="69">IF(H$12=0,0,H105/H$12)</f>
        <v>3.4767839714457752E-3</v>
      </c>
      <c r="K105" s="1"/>
      <c r="L105" s="1">
        <f t="shared" ref="L105:L108" si="70">+D105-H105</f>
        <v>-640.17000000000007</v>
      </c>
      <c r="M105" s="1"/>
      <c r="N105" s="5">
        <f t="shared" ref="N105:N108" si="71">IF(H105=0,0,L105/H105)</f>
        <v>-1.2449340749095719</v>
      </c>
      <c r="O105" s="14"/>
      <c r="P105" s="1">
        <f>SUM(OSRRefP22_9x_0)</f>
        <v>-125.95</v>
      </c>
      <c r="Q105" s="1"/>
      <c r="R105" s="5">
        <f t="shared" ref="R105:R108" si="72">IF(P$12=0,0,P105/P$12)</f>
        <v>-1.0153922828412894E-3</v>
      </c>
      <c r="S105" s="1"/>
      <c r="T105" s="1">
        <f>SUM(OSRRefT22_9x_0)</f>
        <v>514.22</v>
      </c>
      <c r="U105" s="1"/>
      <c r="V105" s="5">
        <f t="shared" ref="V105:V108" si="73">IF(T$12=0,0,T105/T$12)</f>
        <v>3.4767839714457752E-3</v>
      </c>
      <c r="W105" s="1"/>
      <c r="X105" s="1">
        <f t="shared" ref="X105:X108" si="74">+P105-T105</f>
        <v>-640.17000000000007</v>
      </c>
      <c r="Y105" s="1"/>
      <c r="Z105" s="5">
        <f t="shared" ref="Z105:Z108" si="75">IF(T105=0,0,X105/T105)</f>
        <v>-1.2449340749095719</v>
      </c>
    </row>
    <row r="106" spans="1:26" s="24" customFormat="1" hidden="1" outlineLevel="2" x14ac:dyDescent="0.3">
      <c r="A106" s="27"/>
      <c r="B106" s="12" t="str">
        <f>CONCATENATE("          ", "6309", " - ", "TELEPHONE")</f>
        <v xml:space="preserve">          6309 - TELEPHONE</v>
      </c>
      <c r="C106" s="12"/>
      <c r="D106" s="8">
        <v>-125.95</v>
      </c>
      <c r="E106" s="3"/>
      <c r="F106" s="7">
        <f t="shared" si="68"/>
        <v>-1.0153922828412894E-3</v>
      </c>
      <c r="G106" s="3"/>
      <c r="H106" s="8">
        <v>514.22</v>
      </c>
      <c r="I106" s="3"/>
      <c r="J106" s="7">
        <f t="shared" si="69"/>
        <v>3.4767839714457752E-3</v>
      </c>
      <c r="K106" s="3"/>
      <c r="L106" s="8">
        <f t="shared" si="70"/>
        <v>-640.17000000000007</v>
      </c>
      <c r="M106" s="3"/>
      <c r="N106" s="7">
        <f t="shared" si="71"/>
        <v>-1.2449340749095719</v>
      </c>
      <c r="O106" s="12"/>
      <c r="P106" s="8">
        <v>-125.95</v>
      </c>
      <c r="Q106" s="3"/>
      <c r="R106" s="7">
        <f t="shared" si="72"/>
        <v>-1.0153922828412894E-3</v>
      </c>
      <c r="S106" s="3"/>
      <c r="T106" s="8">
        <v>514.22</v>
      </c>
      <c r="U106" s="3"/>
      <c r="V106" s="7">
        <f t="shared" si="73"/>
        <v>3.4767839714457752E-3</v>
      </c>
      <c r="W106" s="3"/>
      <c r="X106" s="8">
        <f t="shared" si="74"/>
        <v>-640.17000000000007</v>
      </c>
      <c r="Y106" s="3"/>
      <c r="Z106" s="7">
        <f t="shared" si="75"/>
        <v>-1.2449340749095719</v>
      </c>
    </row>
    <row r="107" spans="1:26" s="29" customFormat="1" outlineLevel="1" collapsed="1" x14ac:dyDescent="0.3">
      <c r="A107" s="28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SUM(OSRRefD22_10x_0)</f>
        <v>40.32</v>
      </c>
      <c r="E107" s="1"/>
      <c r="F107" s="5">
        <f t="shared" si="68"/>
        <v>3.250545203982595E-4</v>
      </c>
      <c r="G107" s="1"/>
      <c r="H107" s="1">
        <f>SUM(OSRRefH22_10x_0)</f>
        <v>0</v>
      </c>
      <c r="I107" s="1"/>
      <c r="J107" s="5">
        <f t="shared" si="69"/>
        <v>0</v>
      </c>
      <c r="K107" s="1"/>
      <c r="L107" s="1">
        <f t="shared" si="70"/>
        <v>40.32</v>
      </c>
      <c r="M107" s="1"/>
      <c r="N107" s="5">
        <f t="shared" si="71"/>
        <v>0</v>
      </c>
      <c r="O107" s="14"/>
      <c r="P107" s="1">
        <f>SUM(OSRRefP22_10x_0)</f>
        <v>40.32</v>
      </c>
      <c r="Q107" s="1"/>
      <c r="R107" s="5">
        <f t="shared" si="72"/>
        <v>3.250545203982595E-4</v>
      </c>
      <c r="S107" s="1"/>
      <c r="T107" s="1">
        <f>SUM(OSRRefT22_10x_0)</f>
        <v>0</v>
      </c>
      <c r="U107" s="1"/>
      <c r="V107" s="5">
        <f t="shared" si="73"/>
        <v>0</v>
      </c>
      <c r="W107" s="1"/>
      <c r="X107" s="1">
        <f t="shared" si="74"/>
        <v>40.32</v>
      </c>
      <c r="Y107" s="1"/>
      <c r="Z107" s="5">
        <f t="shared" si="75"/>
        <v>0</v>
      </c>
    </row>
    <row r="108" spans="1:26" s="24" customFormat="1" hidden="1" outlineLevel="2" x14ac:dyDescent="0.3">
      <c r="A108" s="27"/>
      <c r="B108" s="12" t="str">
        <f>CONCATENATE("          ", "6294", " - ", "TRAVEL OPERATIONAL")</f>
        <v xml:space="preserve">          6294 - TRAVEL OPERATIONAL</v>
      </c>
      <c r="C108" s="12"/>
      <c r="D108" s="8">
        <v>40.32</v>
      </c>
      <c r="E108" s="3"/>
      <c r="F108" s="7">
        <f t="shared" si="68"/>
        <v>3.250545203982595E-4</v>
      </c>
      <c r="G108" s="3"/>
      <c r="H108" s="8"/>
      <c r="I108" s="3"/>
      <c r="J108" s="7">
        <f t="shared" si="69"/>
        <v>0</v>
      </c>
      <c r="K108" s="3"/>
      <c r="L108" s="8">
        <f t="shared" si="70"/>
        <v>40.32</v>
      </c>
      <c r="M108" s="3"/>
      <c r="N108" s="7">
        <f t="shared" si="71"/>
        <v>0</v>
      </c>
      <c r="O108" s="12"/>
      <c r="P108" s="8">
        <v>40.32</v>
      </c>
      <c r="Q108" s="3"/>
      <c r="R108" s="7">
        <f t="shared" si="72"/>
        <v>3.250545203982595E-4</v>
      </c>
      <c r="S108" s="3"/>
      <c r="T108" s="8"/>
      <c r="U108" s="3"/>
      <c r="V108" s="7">
        <f t="shared" si="73"/>
        <v>0</v>
      </c>
      <c r="W108" s="3"/>
      <c r="X108" s="8">
        <f t="shared" si="74"/>
        <v>40.32</v>
      </c>
      <c r="Y108" s="3"/>
      <c r="Z108" s="7">
        <f t="shared" si="75"/>
        <v>0</v>
      </c>
    </row>
    <row r="109" spans="1:26" s="53" customFormat="1" x14ac:dyDescent="0.3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3">
      <c r="A110" s="10"/>
      <c r="B110" s="25" t="s">
        <v>292</v>
      </c>
      <c r="C110" s="10"/>
      <c r="D110" s="4">
        <f>SUM(OSRRefD25x_0)</f>
        <v>35082.020000000004</v>
      </c>
      <c r="E110" s="4"/>
      <c r="F110" s="11">
        <f t="shared" ref="F110:F112" si="76">IF(D$12=0,0,D110/D$12)</f>
        <v>0.28282661670888271</v>
      </c>
      <c r="G110" s="4"/>
      <c r="H110" s="4">
        <f>SUM(OSRRefH25x_0)</f>
        <v>172008.31</v>
      </c>
      <c r="I110" s="4"/>
      <c r="J110" s="11">
        <f t="shared" ref="J110:J112" si="77">IF(H$12=0,0,H110/H$12)</f>
        <v>1.162995867845428</v>
      </c>
      <c r="K110" s="4"/>
      <c r="L110" s="4">
        <f t="shared" ref="L110:L112" si="78">+D110-H110</f>
        <v>-136926.28999999998</v>
      </c>
      <c r="M110" s="4"/>
      <c r="N110" s="11">
        <f t="shared" ref="N110:N112" si="79">IF(H110=0,0,L110/H110)</f>
        <v>-0.79604462133253895</v>
      </c>
      <c r="O110" s="10"/>
      <c r="P110" s="4">
        <f>SUM(OSRRefP25x_0)</f>
        <v>35082.020000000004</v>
      </c>
      <c r="Q110" s="4"/>
      <c r="R110" s="11">
        <f t="shared" ref="R110:R112" si="80">IF(P$12=0,0,P110/P$12)</f>
        <v>0.28282661670888271</v>
      </c>
      <c r="S110" s="4"/>
      <c r="T110" s="4">
        <f>SUM(OSRRefT25x_0)</f>
        <v>172008.31</v>
      </c>
      <c r="U110" s="4"/>
      <c r="V110" s="11">
        <f t="shared" ref="V110:V112" si="81">IF(T$12=0,0,T110/T$12)</f>
        <v>1.162995867845428</v>
      </c>
      <c r="W110" s="4"/>
      <c r="X110" s="4">
        <f t="shared" ref="X110:X112" si="82">+P110-T110</f>
        <v>-136926.28999999998</v>
      </c>
      <c r="Y110" s="4"/>
      <c r="Z110" s="11">
        <f t="shared" ref="Z110:Z112" si="83">IF(T110=0,0,X110/T110)</f>
        <v>-0.79604462133253895</v>
      </c>
    </row>
    <row r="111" spans="1:26" s="24" customFormat="1" hidden="1" outlineLevel="1" x14ac:dyDescent="0.3">
      <c r="A111" s="50"/>
      <c r="B111" s="12" t="str">
        <f>CONCATENATE("          ", "9150", " - ", "MISC. INCOME")</f>
        <v xml:space="preserve">          9150 - MISC. INCOME</v>
      </c>
      <c r="C111" s="12"/>
      <c r="D111" s="3">
        <f>--28753.08</f>
        <v>28753.08</v>
      </c>
      <c r="E111" s="3"/>
      <c r="F111" s="22">
        <f t="shared" si="76"/>
        <v>0.23180353743484097</v>
      </c>
      <c r="G111" s="3"/>
      <c r="H111" s="3">
        <f>--11344.41</f>
        <v>11344.41</v>
      </c>
      <c r="I111" s="3"/>
      <c r="J111" s="22">
        <f t="shared" si="77"/>
        <v>7.6702700893604217E-2</v>
      </c>
      <c r="K111" s="3"/>
      <c r="L111" s="3">
        <f t="shared" si="78"/>
        <v>17408.670000000002</v>
      </c>
      <c r="M111" s="3"/>
      <c r="N111" s="22">
        <f t="shared" si="79"/>
        <v>1.5345593115904663</v>
      </c>
      <c r="O111" s="12"/>
      <c r="P111" s="3">
        <f>--28753.08</f>
        <v>28753.08</v>
      </c>
      <c r="Q111" s="3"/>
      <c r="R111" s="22">
        <f t="shared" si="80"/>
        <v>0.23180353743484097</v>
      </c>
      <c r="S111" s="3"/>
      <c r="T111" s="3">
        <f>--11344.41</f>
        <v>11344.41</v>
      </c>
      <c r="U111" s="3"/>
      <c r="V111" s="22">
        <f t="shared" si="81"/>
        <v>7.6702700893604217E-2</v>
      </c>
      <c r="W111" s="3"/>
      <c r="X111" s="3">
        <f t="shared" si="82"/>
        <v>17408.670000000002</v>
      </c>
      <c r="Y111" s="3"/>
      <c r="Z111" s="22">
        <f t="shared" si="83"/>
        <v>1.5345593115904663</v>
      </c>
    </row>
    <row r="112" spans="1:26" s="24" customFormat="1" hidden="1" outlineLevel="1" x14ac:dyDescent="0.3">
      <c r="A112" s="50"/>
      <c r="B112" s="12" t="str">
        <f>CONCATENATE("          ", "9163", " - ", "MISC. INCOME")</f>
        <v xml:space="preserve">          9163 - MISC. INCOME</v>
      </c>
      <c r="C112" s="12"/>
      <c r="D112" s="3">
        <f>--6328.94</f>
        <v>6328.94</v>
      </c>
      <c r="E112" s="3"/>
      <c r="F112" s="22">
        <f t="shared" si="76"/>
        <v>5.1023079274041677E-2</v>
      </c>
      <c r="G112" s="3"/>
      <c r="H112" s="3">
        <f>--160663.9</f>
        <v>160663.9</v>
      </c>
      <c r="I112" s="3"/>
      <c r="J112" s="22">
        <f t="shared" si="77"/>
        <v>1.0862931669518239</v>
      </c>
      <c r="K112" s="3"/>
      <c r="L112" s="3">
        <f t="shared" si="78"/>
        <v>-154334.96</v>
      </c>
      <c r="M112" s="3"/>
      <c r="N112" s="22">
        <f t="shared" si="79"/>
        <v>-0.96060757892718895</v>
      </c>
      <c r="O112" s="12"/>
      <c r="P112" s="3">
        <f>--6328.94</f>
        <v>6328.94</v>
      </c>
      <c r="Q112" s="3"/>
      <c r="R112" s="22">
        <f t="shared" si="80"/>
        <v>5.1023079274041677E-2</v>
      </c>
      <c r="S112" s="3"/>
      <c r="T112" s="3">
        <f>--160663.9</f>
        <v>160663.9</v>
      </c>
      <c r="U112" s="3"/>
      <c r="V112" s="22">
        <f t="shared" si="81"/>
        <v>1.0862931669518239</v>
      </c>
      <c r="W112" s="3"/>
      <c r="X112" s="3">
        <f t="shared" si="82"/>
        <v>-154334.96</v>
      </c>
      <c r="Y112" s="3"/>
      <c r="Z112" s="22">
        <f t="shared" si="83"/>
        <v>-0.96060757892718895</v>
      </c>
    </row>
    <row r="113" spans="1:26" x14ac:dyDescent="0.3">
      <c r="A113" s="9"/>
      <c r="B113" s="10"/>
      <c r="C113" s="10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10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23" customFormat="1" x14ac:dyDescent="0.3">
      <c r="A114" s="10"/>
      <c r="B114" s="26" t="s">
        <v>276</v>
      </c>
      <c r="C114" s="26"/>
      <c r="D114" s="20">
        <f>+D68-D70+D110</f>
        <v>13094.379999999976</v>
      </c>
      <c r="E114" s="13"/>
      <c r="F114" s="21">
        <f>IF(D$12=0,0,D114/D$12)</f>
        <v>0.10556516395864468</v>
      </c>
      <c r="G114" s="13"/>
      <c r="H114" s="20">
        <f>+H68-H70+H110</f>
        <v>180028.35999999996</v>
      </c>
      <c r="I114" s="13"/>
      <c r="J114" s="21">
        <f>IF(H$12=0,0,H114/H$12)</f>
        <v>1.217221649203978</v>
      </c>
      <c r="K114" s="16"/>
      <c r="L114" s="20">
        <f>+D114-H114</f>
        <v>-166933.97999999998</v>
      </c>
      <c r="M114" s="16"/>
      <c r="N114" s="21">
        <f>IF(H114=0,0,L114/H114)</f>
        <v>-0.92726490426286179</v>
      </c>
      <c r="O114" s="25"/>
      <c r="P114" s="20">
        <f>+P68-P70+P110</f>
        <v>13094.379999999976</v>
      </c>
      <c r="Q114" s="13"/>
      <c r="R114" s="21">
        <f>IF(P$12=0,0,P114/P$12)</f>
        <v>0.10556516395864468</v>
      </c>
      <c r="S114" s="13"/>
      <c r="T114" s="20">
        <f>+T68-T70+T110</f>
        <v>180028.35999999996</v>
      </c>
      <c r="U114" s="13"/>
      <c r="V114" s="21">
        <f>IF(T$12=0,0,T114/T$12)</f>
        <v>1.217221649203978</v>
      </c>
      <c r="W114" s="16"/>
      <c r="X114" s="20">
        <f>+P114-T114</f>
        <v>-166933.97999999998</v>
      </c>
      <c r="Y114" s="16"/>
      <c r="Z114" s="21">
        <f>IF(T114=0,0,X114/T114)</f>
        <v>-0.92726490426286179</v>
      </c>
    </row>
    <row r="115" spans="1:26" x14ac:dyDescent="0.3">
      <c r="A115" s="9"/>
      <c r="B115" s="10"/>
      <c r="C115" s="9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23" customFormat="1" x14ac:dyDescent="0.3">
      <c r="A116" s="51"/>
      <c r="B116" s="10" t="s">
        <v>127</v>
      </c>
      <c r="C116" s="10"/>
      <c r="D116" s="4">
        <v>57306.31</v>
      </c>
      <c r="E116" s="4"/>
      <c r="F116" s="11">
        <f>IF(D$12=0,0,D116/D$12)</f>
        <v>0.46199591053680511</v>
      </c>
      <c r="G116" s="4"/>
      <c r="H116" s="4">
        <v>75751.09</v>
      </c>
      <c r="I116" s="4"/>
      <c r="J116" s="11">
        <f>IF(H$12=0,0,H116/H$12)</f>
        <v>0.5121741191154493</v>
      </c>
      <c r="K116" s="4"/>
      <c r="L116" s="4">
        <f>+D116-H116</f>
        <v>-18444.78</v>
      </c>
      <c r="M116" s="4"/>
      <c r="N116" s="11">
        <f>IF(H116=0,0,L116/H116)</f>
        <v>-0.24349194183212414</v>
      </c>
      <c r="O116" s="10"/>
      <c r="P116" s="4">
        <v>57306.31</v>
      </c>
      <c r="Q116" s="4"/>
      <c r="R116" s="11">
        <f>IF(P$12=0,0,P116/P$12)</f>
        <v>0.46199591053680511</v>
      </c>
      <c r="S116" s="4"/>
      <c r="T116" s="4">
        <v>75751.09</v>
      </c>
      <c r="U116" s="4"/>
      <c r="V116" s="11">
        <f>IF(T$12=0,0,T116/T$12)</f>
        <v>0.5121741191154493</v>
      </c>
      <c r="W116" s="4"/>
      <c r="X116" s="4">
        <f>+P116-T116</f>
        <v>-18444.78</v>
      </c>
      <c r="Y116" s="4"/>
      <c r="Z116" s="11">
        <f>IF(T116=0,0,X116/T116)</f>
        <v>-0.24349194183212414</v>
      </c>
    </row>
    <row r="117" spans="1:26" x14ac:dyDescent="0.3">
      <c r="A117" s="9"/>
      <c r="B117" s="10"/>
      <c r="C117" s="10"/>
      <c r="D117" s="2"/>
      <c r="E117" s="2"/>
      <c r="F117" s="6"/>
      <c r="G117" s="2"/>
      <c r="H117" s="2"/>
      <c r="I117" s="2"/>
      <c r="J117" s="6"/>
      <c r="K117" s="2"/>
      <c r="L117" s="2"/>
      <c r="M117" s="2"/>
      <c r="N117" s="6"/>
      <c r="O117" s="10"/>
      <c r="P117" s="2"/>
      <c r="Q117" s="2"/>
      <c r="R117" s="6"/>
      <c r="S117" s="2"/>
      <c r="T117" s="2"/>
      <c r="U117" s="2"/>
      <c r="V117" s="6"/>
      <c r="W117" s="2"/>
      <c r="X117" s="2"/>
      <c r="Y117" s="2"/>
      <c r="Z117" s="6"/>
    </row>
    <row r="118" spans="1:26" s="23" customFormat="1" ht="15" thickBot="1" x14ac:dyDescent="0.35">
      <c r="A118" s="10"/>
      <c r="B118" s="26" t="s">
        <v>125</v>
      </c>
      <c r="C118" s="26"/>
      <c r="D118" s="36">
        <f>+D114-D116</f>
        <v>-44211.930000000022</v>
      </c>
      <c r="E118" s="13"/>
      <c r="F118" s="34">
        <f>IF(D$12=0,0,D118/D$12)</f>
        <v>-0.35643074657816043</v>
      </c>
      <c r="G118" s="13"/>
      <c r="H118" s="36">
        <f>+H114-H116</f>
        <v>104277.26999999996</v>
      </c>
      <c r="I118" s="13"/>
      <c r="J118" s="34">
        <f>IF(H$12=0,0,H118/H$12)</f>
        <v>0.70504753008852872</v>
      </c>
      <c r="K118" s="16"/>
      <c r="L118" s="36">
        <f>D118-H118</f>
        <v>-148489.19999999998</v>
      </c>
      <c r="M118" s="16"/>
      <c r="N118" s="34">
        <f>IF(H118=0,0,L118/H118)</f>
        <v>-1.4239843448145511</v>
      </c>
      <c r="O118" s="25"/>
      <c r="P118" s="36">
        <f>+P114-P116</f>
        <v>-44211.930000000022</v>
      </c>
      <c r="Q118" s="13"/>
      <c r="R118" s="34">
        <f>IF(P$12=0,0,P118/P$12)</f>
        <v>-0.35643074657816043</v>
      </c>
      <c r="S118" s="13"/>
      <c r="T118" s="36">
        <f>+T114-T116</f>
        <v>104277.26999999996</v>
      </c>
      <c r="U118" s="13"/>
      <c r="V118" s="34">
        <f>IF(T$12=0,0,T118/T$12)</f>
        <v>0.70504753008852872</v>
      </c>
      <c r="W118" s="16"/>
      <c r="X118" s="36">
        <f>P118-T118</f>
        <v>-148489.19999999998</v>
      </c>
      <c r="Y118" s="16"/>
      <c r="Z118" s="34">
        <f>IF(T118=0,0,X118/T118)</f>
        <v>-1.4239843448145511</v>
      </c>
    </row>
    <row r="119" spans="1:26" ht="15" thickTop="1" x14ac:dyDescent="0.3">
      <c r="A119" s="9"/>
      <c r="B119" s="9"/>
      <c r="C119" s="9"/>
      <c r="D119" s="2"/>
      <c r="E119" s="2"/>
      <c r="F119" s="6"/>
      <c r="G119" s="2"/>
      <c r="H119" s="2"/>
      <c r="I119" s="2"/>
      <c r="J119" s="6"/>
      <c r="K119" s="2"/>
      <c r="L119" s="2"/>
      <c r="M119" s="2"/>
      <c r="N119" s="6"/>
      <c r="P119" s="2"/>
      <c r="Q119" s="2"/>
      <c r="R119" s="6"/>
      <c r="S119" s="2"/>
      <c r="T119" s="2"/>
      <c r="U119" s="2"/>
      <c r="V119" s="6"/>
      <c r="W119" s="2"/>
      <c r="X119" s="2"/>
      <c r="Y119" s="2"/>
      <c r="Z119" s="6"/>
    </row>
    <row r="120" spans="1:26" x14ac:dyDescent="0.3">
      <c r="A120" s="9"/>
      <c r="B120" s="9"/>
      <c r="C120" s="9"/>
      <c r="D120" s="2"/>
      <c r="E120" s="2"/>
      <c r="F120" s="6"/>
      <c r="G120" s="2"/>
      <c r="H120" s="2"/>
      <c r="I120" s="2"/>
      <c r="J120" s="6"/>
      <c r="K120" s="2"/>
      <c r="L120" s="2"/>
      <c r="M120" s="2"/>
      <c r="N120" s="6"/>
      <c r="P120" s="2"/>
      <c r="Q120" s="2"/>
      <c r="R120" s="6"/>
      <c r="S120" s="2"/>
      <c r="T120" s="2"/>
      <c r="U120" s="2"/>
      <c r="V120" s="6"/>
      <c r="W120" s="2"/>
      <c r="X120" s="2"/>
      <c r="Y120" s="2"/>
      <c r="Z120" s="6"/>
    </row>
    <row r="121" spans="1:26" s="23" customFormat="1" ht="15" thickBot="1" x14ac:dyDescent="0.35">
      <c r="A121" s="10"/>
      <c r="B121" s="26" t="s">
        <v>293</v>
      </c>
      <c r="C121" s="26"/>
      <c r="D121" s="31">
        <f>SUM(D118:D120)</f>
        <v>-44211.930000000022</v>
      </c>
      <c r="E121" s="13"/>
      <c r="F121" s="33">
        <f>IF(D$12=0,0,D121/D$12)</f>
        <v>-0.35643074657816043</v>
      </c>
      <c r="G121" s="13"/>
      <c r="H121" s="31">
        <f>SUM(H118:H120)</f>
        <v>104277.26999999996</v>
      </c>
      <c r="I121" s="13"/>
      <c r="J121" s="33">
        <f>IF(H$12=0,0,H121/H$12)</f>
        <v>0.70504753008852872</v>
      </c>
      <c r="K121" s="16"/>
      <c r="L121" s="31">
        <f>+D121-H121</f>
        <v>-148489.19999999998</v>
      </c>
      <c r="M121" s="16"/>
      <c r="N121" s="33">
        <f>IF(H121=0,0,L121/H121)</f>
        <v>-1.4239843448145511</v>
      </c>
      <c r="O121" s="25"/>
      <c r="P121" s="31">
        <f>SUM(P118:P120)</f>
        <v>-44211.930000000022</v>
      </c>
      <c r="Q121" s="13"/>
      <c r="R121" s="33">
        <f>IF(P$12=0,0,P121/P$12)</f>
        <v>-0.35643074657816043</v>
      </c>
      <c r="S121" s="13"/>
      <c r="T121" s="31">
        <f>SUM(T118:T120)</f>
        <v>104277.26999999996</v>
      </c>
      <c r="U121" s="13"/>
      <c r="V121" s="33">
        <f>IF(T$12=0,0,T121/T$12)</f>
        <v>0.70504753008852872</v>
      </c>
      <c r="W121" s="16"/>
      <c r="X121" s="31">
        <f>+P121-T121</f>
        <v>-148489.19999999998</v>
      </c>
      <c r="Y121" s="16"/>
      <c r="Z121" s="33">
        <f>IF(T121=0,0,X121/T121)</f>
        <v>-1.4239843448145511</v>
      </c>
    </row>
    <row r="122" spans="1:26" ht="15" thickTop="1" x14ac:dyDescent="0.3">
      <c r="A122" s="9"/>
      <c r="C122" s="9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3">
      <c r="A123" s="9"/>
      <c r="B123" s="59">
        <v>44462.666945868055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3">
      <c r="A124" s="9"/>
      <c r="B124" s="57" t="s">
        <v>56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3">
      <c r="A125" s="9"/>
      <c r="B125" s="61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3"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31810.87</v>
      </c>
      <c r="E12" s="4"/>
      <c r="F12" s="11"/>
      <c r="G12" s="4"/>
      <c r="H12" s="4">
        <f>SUM(OSRRefH13x_0)</f>
        <v>26879.770000000004</v>
      </c>
      <c r="I12" s="4"/>
      <c r="J12" s="11"/>
      <c r="K12" s="4"/>
      <c r="L12" s="4">
        <f t="shared" ref="L12:L30" si="0">+D12-H12</f>
        <v>4931.0999999999949</v>
      </c>
      <c r="M12" s="4"/>
      <c r="N12" s="11">
        <f t="shared" ref="N12:N30" si="1">IF(H12=0,0,L12/H12)</f>
        <v>0.18345023041491776</v>
      </c>
      <c r="O12" s="10"/>
      <c r="P12" s="4">
        <f>SUM(OSRRefP13x_0)</f>
        <v>31810.87</v>
      </c>
      <c r="Q12" s="4"/>
      <c r="R12" s="11"/>
      <c r="S12" s="4"/>
      <c r="T12" s="4">
        <f>SUM(OSRRefT13x_0)</f>
        <v>26879.770000000004</v>
      </c>
      <c r="U12" s="4"/>
      <c r="V12" s="11"/>
      <c r="W12" s="4"/>
      <c r="X12" s="4">
        <f t="shared" ref="X12:X30" si="2">+P12-T12</f>
        <v>4931.0999999999949</v>
      </c>
      <c r="Y12" s="4"/>
      <c r="Z12" s="11">
        <f t="shared" ref="Z12:Z30" si="3">IF(T12=0,0,X12/T12)</f>
        <v>0.18345023041491776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--32806.68</f>
        <v>32806.68</v>
      </c>
      <c r="E13" s="3"/>
      <c r="F13" s="22"/>
      <c r="G13" s="3"/>
      <c r="H13" s="3">
        <f>-350.33</f>
        <v>-350.33</v>
      </c>
      <c r="I13" s="3"/>
      <c r="J13" s="22"/>
      <c r="K13" s="3"/>
      <c r="L13" s="3">
        <f t="shared" si="0"/>
        <v>33157.01</v>
      </c>
      <c r="M13" s="3"/>
      <c r="N13" s="22">
        <f t="shared" si="1"/>
        <v>-94.645077498358702</v>
      </c>
      <c r="O13" s="12"/>
      <c r="P13" s="3">
        <f>--32806.68</f>
        <v>32806.68</v>
      </c>
      <c r="Q13" s="3"/>
      <c r="R13" s="22"/>
      <c r="S13" s="3"/>
      <c r="T13" s="3">
        <f>-350.33</f>
        <v>-350.33</v>
      </c>
      <c r="U13" s="3"/>
      <c r="V13" s="22"/>
      <c r="W13" s="3"/>
      <c r="X13" s="3">
        <f t="shared" si="2"/>
        <v>33157.01</v>
      </c>
      <c r="Y13" s="3"/>
      <c r="Z13" s="22">
        <f t="shared" si="3"/>
        <v>-94.645077498358702</v>
      </c>
    </row>
    <row r="14" spans="1:26" s="24" customFormat="1" hidden="1" outlineLevel="1" x14ac:dyDescent="0.3">
      <c r="A14" s="50"/>
      <c r="B14" s="12" t="str">
        <f>CONCATENATE("          ", "4026", " - ", "TAXABLE SALES-WRITING INSTRUME")</f>
        <v xml:space="preserve">          4026 - TAXABLE SALES-WRITING INSTRUME</v>
      </c>
      <c r="C14" s="12"/>
      <c r="D14" s="3">
        <f t="shared" ref="D14:D19" si="4">0</f>
        <v>0</v>
      </c>
      <c r="E14" s="3"/>
      <c r="F14" s="22"/>
      <c r="G14" s="3"/>
      <c r="H14" s="3">
        <f>--14.57</f>
        <v>14.57</v>
      </c>
      <c r="I14" s="3"/>
      <c r="J14" s="22"/>
      <c r="K14" s="3"/>
      <c r="L14" s="3">
        <f t="shared" si="0"/>
        <v>-14.57</v>
      </c>
      <c r="M14" s="3"/>
      <c r="N14" s="22">
        <f t="shared" si="1"/>
        <v>-1</v>
      </c>
      <c r="O14" s="12"/>
      <c r="P14" s="3">
        <f t="shared" ref="P14:P19" si="5">0</f>
        <v>0</v>
      </c>
      <c r="Q14" s="3"/>
      <c r="R14" s="22"/>
      <c r="S14" s="3"/>
      <c r="T14" s="3">
        <f>--14.57</f>
        <v>14.57</v>
      </c>
      <c r="U14" s="3"/>
      <c r="V14" s="22"/>
      <c r="W14" s="3"/>
      <c r="X14" s="3">
        <f t="shared" si="2"/>
        <v>-14.57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"4040", " - ", "TAXABLE SALES-LOGO CLOTHING")</f>
        <v xml:space="preserve">          4040 - TAXABLE SALES-LOGO CLOTHING</v>
      </c>
      <c r="C15" s="12"/>
      <c r="D15" s="3">
        <f t="shared" si="4"/>
        <v>0</v>
      </c>
      <c r="E15" s="3"/>
      <c r="F15" s="22"/>
      <c r="G15" s="3"/>
      <c r="H15" s="3">
        <f>--21911.66</f>
        <v>21911.66</v>
      </c>
      <c r="I15" s="3"/>
      <c r="J15" s="22"/>
      <c r="K15" s="3"/>
      <c r="L15" s="3">
        <f t="shared" si="0"/>
        <v>-21911.66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--21911.66</f>
        <v>21911.66</v>
      </c>
      <c r="U15" s="3"/>
      <c r="V15" s="22"/>
      <c r="W15" s="3"/>
      <c r="X15" s="3">
        <f t="shared" si="2"/>
        <v>-21911.66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"4041", " - ", "TAXABLE SALES-LOGO GIFTS")</f>
        <v xml:space="preserve">          4041 - TAXABLE SALES-LOGO GIFTS</v>
      </c>
      <c r="C16" s="12"/>
      <c r="D16" s="3">
        <f t="shared" si="4"/>
        <v>0</v>
      </c>
      <c r="E16" s="3"/>
      <c r="F16" s="22"/>
      <c r="G16" s="3"/>
      <c r="H16" s="3">
        <f>--4185.47</f>
        <v>4185.47</v>
      </c>
      <c r="I16" s="3"/>
      <c r="J16" s="22"/>
      <c r="K16" s="3"/>
      <c r="L16" s="3">
        <f t="shared" si="0"/>
        <v>-4185.47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--4185.47</f>
        <v>4185.47</v>
      </c>
      <c r="U16" s="3"/>
      <c r="V16" s="22"/>
      <c r="W16" s="3"/>
      <c r="X16" s="3">
        <f t="shared" si="2"/>
        <v>-4185.47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"4042", " - ", "TAXABLE SALES-EVERYDAY GIFTS")</f>
        <v xml:space="preserve">          4042 - TAXABLE SALES-EVERYDAY GIFTS</v>
      </c>
      <c r="C17" s="12"/>
      <c r="D17" s="3">
        <f t="shared" si="4"/>
        <v>0</v>
      </c>
      <c r="E17" s="3"/>
      <c r="F17" s="22"/>
      <c r="G17" s="3"/>
      <c r="H17" s="3">
        <f>--1599.33</f>
        <v>1599.33</v>
      </c>
      <c r="I17" s="3"/>
      <c r="J17" s="22"/>
      <c r="K17" s="3"/>
      <c r="L17" s="3">
        <f t="shared" si="0"/>
        <v>-1599.33</v>
      </c>
      <c r="M17" s="3"/>
      <c r="N17" s="22">
        <f t="shared" si="1"/>
        <v>-1</v>
      </c>
      <c r="O17" s="12"/>
      <c r="P17" s="3">
        <f t="shared" si="5"/>
        <v>0</v>
      </c>
      <c r="Q17" s="3"/>
      <c r="R17" s="22"/>
      <c r="S17" s="3"/>
      <c r="T17" s="3">
        <f>--1599.33</f>
        <v>1599.33</v>
      </c>
      <c r="U17" s="3"/>
      <c r="V17" s="22"/>
      <c r="W17" s="3"/>
      <c r="X17" s="3">
        <f t="shared" si="2"/>
        <v>-1599.33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"4043", " - ", "TAXABLE SALES-CARDS")</f>
        <v xml:space="preserve">          4043 - TAXABLE SALES-CARDS</v>
      </c>
      <c r="C18" s="12"/>
      <c r="D18" s="3">
        <f t="shared" si="4"/>
        <v>0</v>
      </c>
      <c r="E18" s="3"/>
      <c r="F18" s="22"/>
      <c r="G18" s="3"/>
      <c r="H18" s="3">
        <f>--29.99</f>
        <v>29.99</v>
      </c>
      <c r="I18" s="3"/>
      <c r="J18" s="22"/>
      <c r="K18" s="3"/>
      <c r="L18" s="3">
        <f t="shared" si="0"/>
        <v>-29.99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--29.99</f>
        <v>29.99</v>
      </c>
      <c r="U18" s="3"/>
      <c r="V18" s="22"/>
      <c r="W18" s="3"/>
      <c r="X18" s="3">
        <f t="shared" si="2"/>
        <v>-29.99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"4044", " - ", "TAXABLE SALES-ACCESSORIES")</f>
        <v xml:space="preserve">          4044 - TAXABLE SALES-ACCESSORIES</v>
      </c>
      <c r="C19" s="12"/>
      <c r="D19" s="3">
        <f t="shared" si="4"/>
        <v>0</v>
      </c>
      <c r="E19" s="3"/>
      <c r="F19" s="22"/>
      <c r="G19" s="3"/>
      <c r="H19" s="3">
        <f>--297.48</f>
        <v>297.48</v>
      </c>
      <c r="I19" s="3"/>
      <c r="J19" s="22"/>
      <c r="K19" s="3"/>
      <c r="L19" s="3">
        <f t="shared" si="0"/>
        <v>-297.48</v>
      </c>
      <c r="M19" s="3"/>
      <c r="N19" s="22">
        <f t="shared" si="1"/>
        <v>-1</v>
      </c>
      <c r="O19" s="12"/>
      <c r="P19" s="3">
        <f t="shared" si="5"/>
        <v>0</v>
      </c>
      <c r="Q19" s="3"/>
      <c r="R19" s="22"/>
      <c r="S19" s="3"/>
      <c r="T19" s="3">
        <f>--297.48</f>
        <v>297.48</v>
      </c>
      <c r="U19" s="3"/>
      <c r="V19" s="22"/>
      <c r="W19" s="3"/>
      <c r="X19" s="3">
        <f t="shared" si="2"/>
        <v>-297.48</v>
      </c>
      <c r="Y19" s="3"/>
      <c r="Z19" s="22">
        <f t="shared" si="3"/>
        <v>-1</v>
      </c>
    </row>
    <row r="20" spans="1:26" s="24" customFormat="1" hidden="1" outlineLevel="1" x14ac:dyDescent="0.3">
      <c r="A20" s="50"/>
      <c r="B20" s="12" t="str">
        <f>CONCATENATE("          ", "4100", " - ", "NON-TAXABLE SALES")</f>
        <v xml:space="preserve">          4100 - NON-TAXABLE SALES</v>
      </c>
      <c r="C20" s="12"/>
      <c r="D20" s="3">
        <f>--18</f>
        <v>18</v>
      </c>
      <c r="E20" s="3"/>
      <c r="F20" s="22"/>
      <c r="G20" s="3"/>
      <c r="H20" s="3">
        <f>0</f>
        <v>0</v>
      </c>
      <c r="I20" s="3"/>
      <c r="J20" s="22"/>
      <c r="K20" s="3"/>
      <c r="L20" s="3">
        <f t="shared" si="0"/>
        <v>18</v>
      </c>
      <c r="M20" s="3"/>
      <c r="N20" s="22">
        <f t="shared" si="1"/>
        <v>0</v>
      </c>
      <c r="O20" s="12"/>
      <c r="P20" s="3">
        <f>--18</f>
        <v>18</v>
      </c>
      <c r="Q20" s="3"/>
      <c r="R20" s="22"/>
      <c r="S20" s="3"/>
      <c r="T20" s="3">
        <f>0</f>
        <v>0</v>
      </c>
      <c r="U20" s="3"/>
      <c r="V20" s="22"/>
      <c r="W20" s="3"/>
      <c r="X20" s="3">
        <f t="shared" si="2"/>
        <v>18</v>
      </c>
      <c r="Y20" s="3"/>
      <c r="Z20" s="22">
        <f t="shared" si="3"/>
        <v>0</v>
      </c>
    </row>
    <row r="21" spans="1:26" s="24" customFormat="1" hidden="1" outlineLevel="1" x14ac:dyDescent="0.3">
      <c r="A21" s="50"/>
      <c r="B21" s="12" t="str">
        <f>CONCATENATE("          ", "4131", " - ", "NON-TAXABLE SALES-FOOD")</f>
        <v xml:space="preserve">          4131 - NON-TAXABLE SALES-FOOD</v>
      </c>
      <c r="C21" s="12"/>
      <c r="D21" s="3">
        <f t="shared" ref="D21:D24" si="6">0</f>
        <v>0</v>
      </c>
      <c r="E21" s="3"/>
      <c r="F21" s="22"/>
      <c r="G21" s="3"/>
      <c r="H21" s="3">
        <f>--1.5</f>
        <v>1.5</v>
      </c>
      <c r="I21" s="3"/>
      <c r="J21" s="22"/>
      <c r="K21" s="3"/>
      <c r="L21" s="3">
        <f t="shared" si="0"/>
        <v>-1.5</v>
      </c>
      <c r="M21" s="3"/>
      <c r="N21" s="22">
        <f t="shared" si="1"/>
        <v>-1</v>
      </c>
      <c r="O21" s="12"/>
      <c r="P21" s="3">
        <f t="shared" ref="P21:P24" si="7">0</f>
        <v>0</v>
      </c>
      <c r="Q21" s="3"/>
      <c r="R21" s="22"/>
      <c r="S21" s="3"/>
      <c r="T21" s="3">
        <f>--1.5</f>
        <v>1.5</v>
      </c>
      <c r="U21" s="3"/>
      <c r="V21" s="22"/>
      <c r="W21" s="3"/>
      <c r="X21" s="3">
        <f t="shared" si="2"/>
        <v>-1.5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"4137", " - ", "NON-TAXABLE SALES-WATER")</f>
        <v xml:space="preserve">          4137 - NON-TAXABLE SALES-WATER</v>
      </c>
      <c r="C22" s="12"/>
      <c r="D22" s="3">
        <f t="shared" si="6"/>
        <v>0</v>
      </c>
      <c r="E22" s="3"/>
      <c r="F22" s="22"/>
      <c r="G22" s="3"/>
      <c r="H22" s="3">
        <f>--9</f>
        <v>9</v>
      </c>
      <c r="I22" s="3"/>
      <c r="J22" s="22"/>
      <c r="K22" s="3"/>
      <c r="L22" s="3">
        <f t="shared" si="0"/>
        <v>-9</v>
      </c>
      <c r="M22" s="3"/>
      <c r="N22" s="22">
        <f t="shared" si="1"/>
        <v>-1</v>
      </c>
      <c r="O22" s="12"/>
      <c r="P22" s="3">
        <f t="shared" si="7"/>
        <v>0</v>
      </c>
      <c r="Q22" s="3"/>
      <c r="R22" s="22"/>
      <c r="S22" s="3"/>
      <c r="T22" s="3">
        <f>--9</f>
        <v>9</v>
      </c>
      <c r="U22" s="3"/>
      <c r="V22" s="22"/>
      <c r="W22" s="3"/>
      <c r="X22" s="3">
        <f t="shared" si="2"/>
        <v>-9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"4140", " - ", "NON-TAXABLE SALES-LOGO CLOTHIN")</f>
        <v xml:space="preserve">          4140 - NON-TAXABLE SALES-LOGO CLOTHIN</v>
      </c>
      <c r="C23" s="12"/>
      <c r="D23" s="3">
        <f t="shared" si="6"/>
        <v>0</v>
      </c>
      <c r="E23" s="3"/>
      <c r="F23" s="22"/>
      <c r="G23" s="3"/>
      <c r="H23" s="3">
        <f>--68.46</f>
        <v>68.459999999999994</v>
      </c>
      <c r="I23" s="3"/>
      <c r="J23" s="22"/>
      <c r="K23" s="3"/>
      <c r="L23" s="3">
        <f t="shared" si="0"/>
        <v>-68.459999999999994</v>
      </c>
      <c r="M23" s="3"/>
      <c r="N23" s="22">
        <f t="shared" si="1"/>
        <v>-1</v>
      </c>
      <c r="O23" s="12"/>
      <c r="P23" s="3">
        <f t="shared" si="7"/>
        <v>0</v>
      </c>
      <c r="Q23" s="3"/>
      <c r="R23" s="22"/>
      <c r="S23" s="3"/>
      <c r="T23" s="3">
        <f>--68.46</f>
        <v>68.459999999999994</v>
      </c>
      <c r="U23" s="3"/>
      <c r="V23" s="22"/>
      <c r="W23" s="3"/>
      <c r="X23" s="3">
        <f t="shared" si="2"/>
        <v>-68.459999999999994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"4145", " - ", "NON-TAXABLE SALES-SPECIAL ORDE")</f>
        <v xml:space="preserve">          4145 - NON-TAXABLE SALES-SPECIAL ORDE</v>
      </c>
      <c r="C24" s="12"/>
      <c r="D24" s="3">
        <f t="shared" si="6"/>
        <v>0</v>
      </c>
      <c r="E24" s="3"/>
      <c r="F24" s="22"/>
      <c r="G24" s="3"/>
      <c r="H24" s="3">
        <f>--7</f>
        <v>7</v>
      </c>
      <c r="I24" s="3"/>
      <c r="J24" s="22"/>
      <c r="K24" s="3"/>
      <c r="L24" s="3">
        <f t="shared" si="0"/>
        <v>-7</v>
      </c>
      <c r="M24" s="3"/>
      <c r="N24" s="22">
        <f t="shared" si="1"/>
        <v>-1</v>
      </c>
      <c r="O24" s="12"/>
      <c r="P24" s="3">
        <f t="shared" si="7"/>
        <v>0</v>
      </c>
      <c r="Q24" s="3"/>
      <c r="R24" s="22"/>
      <c r="S24" s="3"/>
      <c r="T24" s="3">
        <f>--7</f>
        <v>7</v>
      </c>
      <c r="U24" s="3"/>
      <c r="V24" s="22"/>
      <c r="W24" s="3"/>
      <c r="X24" s="3">
        <f t="shared" si="2"/>
        <v>-7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"4200", " - ", "TAXABLE RETURNS")</f>
        <v xml:space="preserve">          4200 - TAXABLE RETURNS</v>
      </c>
      <c r="C25" s="12"/>
      <c r="D25" s="3">
        <f>-1013.81</f>
        <v>-1013.81</v>
      </c>
      <c r="E25" s="3"/>
      <c r="F25" s="22"/>
      <c r="G25" s="3"/>
      <c r="H25" s="3">
        <f>0</f>
        <v>0</v>
      </c>
      <c r="I25" s="3"/>
      <c r="J25" s="22"/>
      <c r="K25" s="3"/>
      <c r="L25" s="3">
        <f t="shared" si="0"/>
        <v>-1013.81</v>
      </c>
      <c r="M25" s="3"/>
      <c r="N25" s="22">
        <f t="shared" si="1"/>
        <v>0</v>
      </c>
      <c r="O25" s="12"/>
      <c r="P25" s="3">
        <f>-1013.81</f>
        <v>-1013.81</v>
      </c>
      <c r="Q25" s="3"/>
      <c r="R25" s="22"/>
      <c r="S25" s="3"/>
      <c r="T25" s="3">
        <f>0</f>
        <v>0</v>
      </c>
      <c r="U25" s="3"/>
      <c r="V25" s="22"/>
      <c r="W25" s="3"/>
      <c r="X25" s="3">
        <f t="shared" si="2"/>
        <v>-1013.81</v>
      </c>
      <c r="Y25" s="3"/>
      <c r="Z25" s="22">
        <f t="shared" si="3"/>
        <v>0</v>
      </c>
    </row>
    <row r="26" spans="1:26" s="24" customFormat="1" hidden="1" outlineLevel="1" x14ac:dyDescent="0.3">
      <c r="A26" s="50"/>
      <c r="B26" s="12" t="str">
        <f>CONCATENATE("          ", "4227", " - ", "SALES RETURN TAXABLE-SCHOOL SU")</f>
        <v xml:space="preserve">          4227 - SALES RETURN TAXABLE-SCHOOL SU</v>
      </c>
      <c r="C26" s="12"/>
      <c r="D26" s="3">
        <f t="shared" ref="D26:D30" si="8">0</f>
        <v>0</v>
      </c>
      <c r="E26" s="3"/>
      <c r="F26" s="22"/>
      <c r="G26" s="3"/>
      <c r="H26" s="3">
        <f>-30</f>
        <v>-30</v>
      </c>
      <c r="I26" s="3"/>
      <c r="J26" s="22"/>
      <c r="K26" s="3"/>
      <c r="L26" s="3">
        <f t="shared" si="0"/>
        <v>30</v>
      </c>
      <c r="M26" s="3"/>
      <c r="N26" s="22">
        <f t="shared" si="1"/>
        <v>-1</v>
      </c>
      <c r="O26" s="12"/>
      <c r="P26" s="3">
        <f t="shared" ref="P26:P30" si="9">0</f>
        <v>0</v>
      </c>
      <c r="Q26" s="3"/>
      <c r="R26" s="22"/>
      <c r="S26" s="3"/>
      <c r="T26" s="3">
        <f>-30</f>
        <v>-30</v>
      </c>
      <c r="U26" s="3"/>
      <c r="V26" s="22"/>
      <c r="W26" s="3"/>
      <c r="X26" s="3">
        <f t="shared" si="2"/>
        <v>30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"4240", " - ", "SALES RETURN TAXABLE-LOGO CLOT")</f>
        <v xml:space="preserve">          4240 - SALES RETURN TAXABLE-LOGO CLOT</v>
      </c>
      <c r="C27" s="12"/>
      <c r="D27" s="3">
        <f t="shared" si="8"/>
        <v>0</v>
      </c>
      <c r="E27" s="3"/>
      <c r="F27" s="22"/>
      <c r="G27" s="3"/>
      <c r="H27" s="3">
        <f>-749.65</f>
        <v>-749.65</v>
      </c>
      <c r="I27" s="3"/>
      <c r="J27" s="22"/>
      <c r="K27" s="3"/>
      <c r="L27" s="3">
        <f t="shared" si="0"/>
        <v>749.65</v>
      </c>
      <c r="M27" s="3"/>
      <c r="N27" s="22">
        <f t="shared" si="1"/>
        <v>-1</v>
      </c>
      <c r="O27" s="12"/>
      <c r="P27" s="3">
        <f t="shared" si="9"/>
        <v>0</v>
      </c>
      <c r="Q27" s="3"/>
      <c r="R27" s="22"/>
      <c r="S27" s="3"/>
      <c r="T27" s="3">
        <f>-749.65</f>
        <v>-749.65</v>
      </c>
      <c r="U27" s="3"/>
      <c r="V27" s="22"/>
      <c r="W27" s="3"/>
      <c r="X27" s="3">
        <f t="shared" si="2"/>
        <v>749.65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"4241", " - ", "SALES RETURN TAXABLE-LOGO GIFT")</f>
        <v xml:space="preserve">          4241 - SALES RETURN TAXABLE-LOGO GIFT</v>
      </c>
      <c r="C28" s="12"/>
      <c r="D28" s="3">
        <f t="shared" si="8"/>
        <v>0</v>
      </c>
      <c r="E28" s="3"/>
      <c r="F28" s="22"/>
      <c r="G28" s="3"/>
      <c r="H28" s="3">
        <f>-33.85</f>
        <v>-33.85</v>
      </c>
      <c r="I28" s="3"/>
      <c r="J28" s="22"/>
      <c r="K28" s="3"/>
      <c r="L28" s="3">
        <f t="shared" si="0"/>
        <v>33.85</v>
      </c>
      <c r="M28" s="3"/>
      <c r="N28" s="22">
        <f t="shared" si="1"/>
        <v>-1</v>
      </c>
      <c r="O28" s="12"/>
      <c r="P28" s="3">
        <f t="shared" si="9"/>
        <v>0</v>
      </c>
      <c r="Q28" s="3"/>
      <c r="R28" s="22"/>
      <c r="S28" s="3"/>
      <c r="T28" s="3">
        <f>-33.85</f>
        <v>-33.85</v>
      </c>
      <c r="U28" s="3"/>
      <c r="V28" s="22"/>
      <c r="W28" s="3"/>
      <c r="X28" s="3">
        <f t="shared" si="2"/>
        <v>33.85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"4242", " - ", "SALES RETURN TAXABLE-EVERYDAY")</f>
        <v xml:space="preserve">          4242 - SALES RETURN TAXABLE-EVERYDAY</v>
      </c>
      <c r="C29" s="12"/>
      <c r="D29" s="3">
        <f t="shared" si="8"/>
        <v>0</v>
      </c>
      <c r="E29" s="3"/>
      <c r="F29" s="22"/>
      <c r="G29" s="3"/>
      <c r="H29" s="3">
        <f>-73.86</f>
        <v>-73.86</v>
      </c>
      <c r="I29" s="3"/>
      <c r="J29" s="22"/>
      <c r="K29" s="3"/>
      <c r="L29" s="3">
        <f t="shared" si="0"/>
        <v>73.86</v>
      </c>
      <c r="M29" s="3"/>
      <c r="N29" s="22">
        <f t="shared" si="1"/>
        <v>-1</v>
      </c>
      <c r="O29" s="12"/>
      <c r="P29" s="3">
        <f t="shared" si="9"/>
        <v>0</v>
      </c>
      <c r="Q29" s="3"/>
      <c r="R29" s="22"/>
      <c r="S29" s="3"/>
      <c r="T29" s="3">
        <f>-73.86</f>
        <v>-73.86</v>
      </c>
      <c r="U29" s="3"/>
      <c r="V29" s="22"/>
      <c r="W29" s="3"/>
      <c r="X29" s="3">
        <f t="shared" si="2"/>
        <v>73.86</v>
      </c>
      <c r="Y29" s="3"/>
      <c r="Z29" s="22">
        <f t="shared" si="3"/>
        <v>-1</v>
      </c>
    </row>
    <row r="30" spans="1:26" s="24" customFormat="1" hidden="1" outlineLevel="1" x14ac:dyDescent="0.3">
      <c r="A30" s="50"/>
      <c r="B30" s="12" t="str">
        <f>CONCATENATE("          ", "4245", " - ", "SALES RETURN TAXABLE-SPECIAL O")</f>
        <v xml:space="preserve">          4245 - SALES RETURN TAXABLE-SPECIAL O</v>
      </c>
      <c r="C30" s="12"/>
      <c r="D30" s="3">
        <f t="shared" si="8"/>
        <v>0</v>
      </c>
      <c r="E30" s="3"/>
      <c r="F30" s="22"/>
      <c r="G30" s="3"/>
      <c r="H30" s="3">
        <f>-7</f>
        <v>-7</v>
      </c>
      <c r="I30" s="3"/>
      <c r="J30" s="22"/>
      <c r="K30" s="3"/>
      <c r="L30" s="3">
        <f t="shared" si="0"/>
        <v>7</v>
      </c>
      <c r="M30" s="3"/>
      <c r="N30" s="22">
        <f t="shared" si="1"/>
        <v>-1</v>
      </c>
      <c r="O30" s="12"/>
      <c r="P30" s="3">
        <f t="shared" si="9"/>
        <v>0</v>
      </c>
      <c r="Q30" s="3"/>
      <c r="R30" s="22"/>
      <c r="S30" s="3"/>
      <c r="T30" s="3">
        <f>-7</f>
        <v>-7</v>
      </c>
      <c r="U30" s="3"/>
      <c r="V30" s="22"/>
      <c r="W30" s="3"/>
      <c r="X30" s="3">
        <f t="shared" si="2"/>
        <v>7</v>
      </c>
      <c r="Y30" s="3"/>
      <c r="Z30" s="22">
        <f t="shared" si="3"/>
        <v>-1</v>
      </c>
    </row>
    <row r="31" spans="1:26" x14ac:dyDescent="0.3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collapsed="1" x14ac:dyDescent="0.3">
      <c r="A32" s="10"/>
      <c r="B32" s="25" t="s">
        <v>256</v>
      </c>
      <c r="C32" s="10"/>
      <c r="D32" s="4">
        <f>SUM(OSRRefD16x_0)</f>
        <v>15982.33</v>
      </c>
      <c r="E32" s="4"/>
      <c r="F32" s="11">
        <f t="shared" ref="F32:F33" si="10">IF(D$12=0,0,D32/D$12)</f>
        <v>0.50241725548531058</v>
      </c>
      <c r="G32" s="4"/>
      <c r="H32" s="4">
        <f>SUM(OSRRefH16x_0)</f>
        <v>10370</v>
      </c>
      <c r="I32" s="4"/>
      <c r="J32" s="11">
        <f t="shared" ref="J32:J33" si="11">IF(H$12=0,0,H32/H$12)</f>
        <v>0.38579199152373694</v>
      </c>
      <c r="K32" s="4"/>
      <c r="L32" s="4">
        <f t="shared" ref="L32:L33" si="12">+D32-H32</f>
        <v>5612.33</v>
      </c>
      <c r="M32" s="4"/>
      <c r="N32" s="11">
        <f t="shared" ref="N32:N33" si="13">IF(H32=0,0,L32/H32)</f>
        <v>0.54120829315332686</v>
      </c>
      <c r="O32" s="10"/>
      <c r="P32" s="4">
        <f>SUM(OSRRefP16x_0)</f>
        <v>15982.33</v>
      </c>
      <c r="Q32" s="4"/>
      <c r="R32" s="11">
        <f t="shared" ref="R32:R33" si="14">IF(P$12=0,0,P32/P$12)</f>
        <v>0.50241725548531058</v>
      </c>
      <c r="S32" s="4"/>
      <c r="T32" s="4">
        <f>SUM(OSRRefT16x_0)</f>
        <v>10370</v>
      </c>
      <c r="U32" s="4"/>
      <c r="V32" s="11">
        <f t="shared" ref="V32:V33" si="15">IF(T$12=0,0,T32/T$12)</f>
        <v>0.38579199152373694</v>
      </c>
      <c r="W32" s="4"/>
      <c r="X32" s="4">
        <f t="shared" ref="X32:X33" si="16">+P32-T32</f>
        <v>5612.33</v>
      </c>
      <c r="Y32" s="4"/>
      <c r="Z32" s="11">
        <f t="shared" ref="Z32:Z33" si="17">IF(T32=0,0,X32/T32)</f>
        <v>0.54120829315332686</v>
      </c>
    </row>
    <row r="33" spans="1:26" s="24" customFormat="1" hidden="1" outlineLevel="1" x14ac:dyDescent="0.3">
      <c r="A33" s="50"/>
      <c r="B33" s="12" t="str">
        <f>CONCATENATE("          ", "5300", " - ", "COG$ OFFSET")</f>
        <v xml:space="preserve">          5300 - COG$ OFFSET</v>
      </c>
      <c r="C33" s="12"/>
      <c r="D33" s="3">
        <v>15982.33</v>
      </c>
      <c r="E33" s="3"/>
      <c r="F33" s="22">
        <f t="shared" si="10"/>
        <v>0.50241725548531058</v>
      </c>
      <c r="G33" s="3"/>
      <c r="H33" s="3">
        <v>10370</v>
      </c>
      <c r="I33" s="3"/>
      <c r="J33" s="22">
        <f t="shared" si="11"/>
        <v>0.38579199152373694</v>
      </c>
      <c r="K33" s="3"/>
      <c r="L33" s="3">
        <f t="shared" si="12"/>
        <v>5612.33</v>
      </c>
      <c r="M33" s="3"/>
      <c r="N33" s="22">
        <f t="shared" si="13"/>
        <v>0.54120829315332686</v>
      </c>
      <c r="O33" s="12"/>
      <c r="P33" s="3">
        <v>15982.33</v>
      </c>
      <c r="Q33" s="3"/>
      <c r="R33" s="22">
        <f t="shared" si="14"/>
        <v>0.50241725548531058</v>
      </c>
      <c r="S33" s="3"/>
      <c r="T33" s="3">
        <v>10370</v>
      </c>
      <c r="U33" s="3"/>
      <c r="V33" s="22">
        <f t="shared" si="15"/>
        <v>0.38579199152373694</v>
      </c>
      <c r="W33" s="3"/>
      <c r="X33" s="3">
        <f t="shared" si="16"/>
        <v>5612.33</v>
      </c>
      <c r="Y33" s="3"/>
      <c r="Z33" s="22">
        <f t="shared" si="17"/>
        <v>0.54120829315332686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x14ac:dyDescent="0.3">
      <c r="A35" s="10"/>
      <c r="B35" s="26" t="s">
        <v>107</v>
      </c>
      <c r="C35" s="26"/>
      <c r="D35" s="20">
        <f>D12-D32</f>
        <v>15828.539999999999</v>
      </c>
      <c r="E35" s="13"/>
      <c r="F35" s="21">
        <f>IF(D$12=0,0,D35/D$12)</f>
        <v>0.49758274451468948</v>
      </c>
      <c r="G35" s="13"/>
      <c r="H35" s="20">
        <f>H12-H32</f>
        <v>16509.770000000004</v>
      </c>
      <c r="I35" s="13"/>
      <c r="J35" s="21">
        <f>IF(H$12=0,0,H35/H$12)</f>
        <v>0.61420800847626311</v>
      </c>
      <c r="K35" s="16"/>
      <c r="L35" s="20">
        <f>+D35-H35</f>
        <v>-681.23000000000502</v>
      </c>
      <c r="M35" s="16"/>
      <c r="N35" s="21">
        <f>IF(H35=0,0,L35/H35)</f>
        <v>-4.1262234422405938E-2</v>
      </c>
      <c r="O35" s="25"/>
      <c r="P35" s="20">
        <f>P12-P32</f>
        <v>15828.539999999999</v>
      </c>
      <c r="Q35" s="13"/>
      <c r="R35" s="21">
        <f>IF(P$12=0,0,P35/P$12)</f>
        <v>0.49758274451468948</v>
      </c>
      <c r="S35" s="13"/>
      <c r="T35" s="20">
        <f>T12-T32</f>
        <v>16509.770000000004</v>
      </c>
      <c r="U35" s="13"/>
      <c r="V35" s="21">
        <f>IF(T$12=0,0,T35/T$12)</f>
        <v>0.61420800847626311</v>
      </c>
      <c r="W35" s="16"/>
      <c r="X35" s="20">
        <f>+P35-T35</f>
        <v>-681.23000000000502</v>
      </c>
      <c r="Y35" s="16"/>
      <c r="Z35" s="21">
        <f>IF(T35=0,0,X35/T35)</f>
        <v>-4.1262234422405938E-2</v>
      </c>
    </row>
    <row r="36" spans="1:26" x14ac:dyDescent="0.3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">
      <c r="A37" s="10"/>
      <c r="B37" s="25" t="s">
        <v>294</v>
      </c>
      <c r="C37" s="10"/>
      <c r="D37" s="19">
        <f>SUM(OSRRefD22x_0)</f>
        <v>16901.780000000002</v>
      </c>
      <c r="E37" s="19"/>
      <c r="F37" s="35">
        <f t="shared" ref="F37:F46" si="18">IF(D$12=0,0,D37/D$12)</f>
        <v>0.53132089754225531</v>
      </c>
      <c r="G37" s="19"/>
      <c r="H37" s="19">
        <f>SUM(OSRRefH22x_0)</f>
        <v>23071.4</v>
      </c>
      <c r="I37" s="19"/>
      <c r="J37" s="35">
        <f t="shared" ref="J37:J46" si="19">IF(H$12=0,0,H37/H$12)</f>
        <v>0.85831835614664853</v>
      </c>
      <c r="K37" s="4"/>
      <c r="L37" s="19">
        <f t="shared" ref="L37:L46" si="20">+D37-H37</f>
        <v>-6169.619999999999</v>
      </c>
      <c r="M37" s="4"/>
      <c r="N37" s="35">
        <f t="shared" ref="N37:N46" si="21">IF(H37=0,0,L37/H37)</f>
        <v>-0.26741420113213754</v>
      </c>
      <c r="O37" s="10"/>
      <c r="P37" s="19">
        <f>SUM(OSRRefP22x_0)</f>
        <v>16901.780000000002</v>
      </c>
      <c r="Q37" s="19"/>
      <c r="R37" s="35">
        <f t="shared" ref="R37:R46" si="22">IF(P$12=0,0,P37/P$12)</f>
        <v>0.53132089754225531</v>
      </c>
      <c r="S37" s="19"/>
      <c r="T37" s="19">
        <f>SUM(OSRRefT22x_0)</f>
        <v>23071.4</v>
      </c>
      <c r="U37" s="19"/>
      <c r="V37" s="35">
        <f t="shared" ref="V37:V46" si="23">IF(T$12=0,0,T37/T$12)</f>
        <v>0.85831835614664853</v>
      </c>
      <c r="W37" s="4"/>
      <c r="X37" s="19">
        <f t="shared" ref="X37:X46" si="24">+P37-T37</f>
        <v>-6169.619999999999</v>
      </c>
      <c r="Y37" s="4"/>
      <c r="Z37" s="35">
        <f t="shared" ref="Z37:Z46" si="25">IF(T37=0,0,X37/T37)</f>
        <v>-0.26741420113213754</v>
      </c>
    </row>
    <row r="38" spans="1:26" s="29" customFormat="1" outlineLevel="1" collapsed="1" x14ac:dyDescent="0.3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1300.4500000000003</v>
      </c>
      <c r="E38" s="1"/>
      <c r="F38" s="5">
        <f t="shared" si="18"/>
        <v>4.0880680094571457E-2</v>
      </c>
      <c r="G38" s="1"/>
      <c r="H38" s="1">
        <f>SUM(OSRRefH22_0x_0)</f>
        <v>4182.72</v>
      </c>
      <c r="I38" s="1"/>
      <c r="J38" s="5">
        <f t="shared" si="19"/>
        <v>0.15560847432846336</v>
      </c>
      <c r="K38" s="1"/>
      <c r="L38" s="1">
        <f t="shared" si="20"/>
        <v>-2882.27</v>
      </c>
      <c r="M38" s="1"/>
      <c r="N38" s="5">
        <f t="shared" si="21"/>
        <v>-0.68908987453140536</v>
      </c>
      <c r="O38" s="14"/>
      <c r="P38" s="1">
        <f>SUM(OSRRefP22_0x_0)</f>
        <v>1300.4500000000003</v>
      </c>
      <c r="Q38" s="1"/>
      <c r="R38" s="5">
        <f t="shared" si="22"/>
        <v>4.0880680094571457E-2</v>
      </c>
      <c r="S38" s="1"/>
      <c r="T38" s="1">
        <f>SUM(OSRRefT22_0x_0)</f>
        <v>4182.72</v>
      </c>
      <c r="U38" s="1"/>
      <c r="V38" s="5">
        <f t="shared" si="23"/>
        <v>0.15560847432846336</v>
      </c>
      <c r="W38" s="1"/>
      <c r="X38" s="1">
        <f t="shared" si="24"/>
        <v>-2882.27</v>
      </c>
      <c r="Y38" s="1"/>
      <c r="Z38" s="5">
        <f t="shared" si="25"/>
        <v>-0.68908987453140536</v>
      </c>
    </row>
    <row r="39" spans="1:26" s="24" customFormat="1" hidden="1" outlineLevel="2" x14ac:dyDescent="0.3">
      <c r="A39" s="27"/>
      <c r="B39" s="12" t="str">
        <f>CONCATENATE("          ", "6111", " - ", "F.I.C.A.")</f>
        <v xml:space="preserve">          6111 - F.I.C.A.</v>
      </c>
      <c r="C39" s="12"/>
      <c r="D39" s="8">
        <v>402.97</v>
      </c>
      <c r="E39" s="3"/>
      <c r="F39" s="7">
        <f t="shared" si="18"/>
        <v>1.2667682462001197E-2</v>
      </c>
      <c r="G39" s="3"/>
      <c r="H39" s="8">
        <v>672.15</v>
      </c>
      <c r="I39" s="3"/>
      <c r="J39" s="7">
        <f t="shared" si="19"/>
        <v>2.5005794320412708E-2</v>
      </c>
      <c r="K39" s="3"/>
      <c r="L39" s="8">
        <f t="shared" si="20"/>
        <v>-269.17999999999995</v>
      </c>
      <c r="M39" s="3"/>
      <c r="N39" s="7">
        <f t="shared" si="21"/>
        <v>-0.40047608420739411</v>
      </c>
      <c r="O39" s="12"/>
      <c r="P39" s="8">
        <v>402.97</v>
      </c>
      <c r="Q39" s="3"/>
      <c r="R39" s="7">
        <f t="shared" si="22"/>
        <v>1.2667682462001197E-2</v>
      </c>
      <c r="S39" s="3"/>
      <c r="T39" s="8">
        <v>672.15</v>
      </c>
      <c r="U39" s="3"/>
      <c r="V39" s="7">
        <f t="shared" si="23"/>
        <v>2.5005794320412708E-2</v>
      </c>
      <c r="W39" s="3"/>
      <c r="X39" s="8">
        <f t="shared" si="24"/>
        <v>-269.17999999999995</v>
      </c>
      <c r="Y39" s="3"/>
      <c r="Z39" s="7">
        <f t="shared" si="25"/>
        <v>-0.40047608420739411</v>
      </c>
    </row>
    <row r="40" spans="1:26" s="24" customFormat="1" hidden="1" outlineLevel="2" x14ac:dyDescent="0.3">
      <c r="A40" s="27"/>
      <c r="B40" s="12" t="str">
        <f>CONCATENATE("          ", "6112", " - ", "COMPENSATION INSURANCE")</f>
        <v xml:space="preserve">          6112 - COMPENSATION INSURANCE</v>
      </c>
      <c r="C40" s="12"/>
      <c r="D40" s="8">
        <v>36.79</v>
      </c>
      <c r="E40" s="3"/>
      <c r="F40" s="7">
        <f t="shared" si="18"/>
        <v>1.1565229118222797E-3</v>
      </c>
      <c r="G40" s="3"/>
      <c r="H40" s="8">
        <v>228.93</v>
      </c>
      <c r="I40" s="3"/>
      <c r="J40" s="7">
        <f t="shared" si="19"/>
        <v>8.5168139459526615E-3</v>
      </c>
      <c r="K40" s="3"/>
      <c r="L40" s="8">
        <f t="shared" si="20"/>
        <v>-192.14000000000001</v>
      </c>
      <c r="M40" s="3"/>
      <c r="N40" s="7">
        <f t="shared" si="21"/>
        <v>-0.83929585462805223</v>
      </c>
      <c r="O40" s="12"/>
      <c r="P40" s="8">
        <v>36.79</v>
      </c>
      <c r="Q40" s="3"/>
      <c r="R40" s="7">
        <f t="shared" si="22"/>
        <v>1.1565229118222797E-3</v>
      </c>
      <c r="S40" s="3"/>
      <c r="T40" s="8">
        <v>228.93</v>
      </c>
      <c r="U40" s="3"/>
      <c r="V40" s="7">
        <f t="shared" si="23"/>
        <v>8.5168139459526615E-3</v>
      </c>
      <c r="W40" s="3"/>
      <c r="X40" s="8">
        <f t="shared" si="24"/>
        <v>-192.14000000000001</v>
      </c>
      <c r="Y40" s="3"/>
      <c r="Z40" s="7">
        <f t="shared" si="25"/>
        <v>-0.83929585462805223</v>
      </c>
    </row>
    <row r="41" spans="1:26" s="24" customFormat="1" hidden="1" outlineLevel="2" x14ac:dyDescent="0.3">
      <c r="A41" s="27"/>
      <c r="B41" s="12" t="str">
        <f>CONCATENATE("          ", "6113", " - ", "GROUP INSURANCE")</f>
        <v xml:space="preserve">          6113 - GROUP INSURANCE</v>
      </c>
      <c r="C41" s="12"/>
      <c r="D41" s="8">
        <v>526.70000000000005</v>
      </c>
      <c r="E41" s="3"/>
      <c r="F41" s="7">
        <f t="shared" si="18"/>
        <v>1.6557233423669333E-2</v>
      </c>
      <c r="G41" s="3"/>
      <c r="H41" s="8">
        <v>2012.47</v>
      </c>
      <c r="I41" s="3"/>
      <c r="J41" s="7">
        <f t="shared" si="19"/>
        <v>7.4869316218107509E-2</v>
      </c>
      <c r="K41" s="3"/>
      <c r="L41" s="8">
        <f t="shared" si="20"/>
        <v>-1485.77</v>
      </c>
      <c r="M41" s="3"/>
      <c r="N41" s="7">
        <f t="shared" si="21"/>
        <v>-0.73828181289658978</v>
      </c>
      <c r="O41" s="12"/>
      <c r="P41" s="8">
        <v>526.70000000000005</v>
      </c>
      <c r="Q41" s="3"/>
      <c r="R41" s="7">
        <f t="shared" si="22"/>
        <v>1.6557233423669333E-2</v>
      </c>
      <c r="S41" s="3"/>
      <c r="T41" s="8">
        <v>2012.47</v>
      </c>
      <c r="U41" s="3"/>
      <c r="V41" s="7">
        <f t="shared" si="23"/>
        <v>7.4869316218107509E-2</v>
      </c>
      <c r="W41" s="3"/>
      <c r="X41" s="8">
        <f t="shared" si="24"/>
        <v>-1485.77</v>
      </c>
      <c r="Y41" s="3"/>
      <c r="Z41" s="7">
        <f t="shared" si="25"/>
        <v>-0.73828181289658978</v>
      </c>
    </row>
    <row r="42" spans="1:26" s="24" customFormat="1" hidden="1" outlineLevel="2" x14ac:dyDescent="0.3">
      <c r="A42" s="27"/>
      <c r="B42" s="12" t="str">
        <f>CONCATENATE("          ", "6114", " - ", "STATE UNEMPLOYMENT INSURANCE")</f>
        <v xml:space="preserve">          6114 - STATE UNEMPLOYMENT INSURANCE</v>
      </c>
      <c r="C42" s="12"/>
      <c r="D42" s="8">
        <v>6.46</v>
      </c>
      <c r="E42" s="3"/>
      <c r="F42" s="7">
        <f t="shared" si="18"/>
        <v>2.0307523811829102E-4</v>
      </c>
      <c r="G42" s="3"/>
      <c r="H42" s="8">
        <v>23.65</v>
      </c>
      <c r="I42" s="3"/>
      <c r="J42" s="7">
        <f t="shared" si="19"/>
        <v>8.7984383794950606E-4</v>
      </c>
      <c r="K42" s="3"/>
      <c r="L42" s="8">
        <f t="shared" si="20"/>
        <v>-17.189999999999998</v>
      </c>
      <c r="M42" s="3"/>
      <c r="N42" s="7">
        <f t="shared" si="21"/>
        <v>-0.72684989429175473</v>
      </c>
      <c r="O42" s="12"/>
      <c r="P42" s="8">
        <v>6.46</v>
      </c>
      <c r="Q42" s="3"/>
      <c r="R42" s="7">
        <f t="shared" si="22"/>
        <v>2.0307523811829102E-4</v>
      </c>
      <c r="S42" s="3"/>
      <c r="T42" s="8">
        <v>23.65</v>
      </c>
      <c r="U42" s="3"/>
      <c r="V42" s="7">
        <f t="shared" si="23"/>
        <v>8.7984383794950606E-4</v>
      </c>
      <c r="W42" s="3"/>
      <c r="X42" s="8">
        <f t="shared" si="24"/>
        <v>-17.189999999999998</v>
      </c>
      <c r="Y42" s="3"/>
      <c r="Z42" s="7">
        <f t="shared" si="25"/>
        <v>-0.72684989429175473</v>
      </c>
    </row>
    <row r="43" spans="1:26" s="24" customFormat="1" hidden="1" outlineLevel="2" x14ac:dyDescent="0.3">
      <c r="A43" s="27"/>
      <c r="B43" s="12" t="str">
        <f>CONCATENATE("          ", "6115", " - ", "P.E.R.S.")</f>
        <v xml:space="preserve">          6115 - P.E.R.S.</v>
      </c>
      <c r="C43" s="12"/>
      <c r="D43" s="8">
        <v>88.89</v>
      </c>
      <c r="E43" s="3"/>
      <c r="F43" s="7">
        <f t="shared" si="18"/>
        <v>2.7943278508258344E-3</v>
      </c>
      <c r="G43" s="3"/>
      <c r="H43" s="8">
        <v>543.17999999999995</v>
      </c>
      <c r="I43" s="3"/>
      <c r="J43" s="7">
        <f t="shared" si="19"/>
        <v>2.0207762194393773E-2</v>
      </c>
      <c r="K43" s="3"/>
      <c r="L43" s="8">
        <f t="shared" si="20"/>
        <v>-454.28999999999996</v>
      </c>
      <c r="M43" s="3"/>
      <c r="N43" s="7">
        <f t="shared" si="21"/>
        <v>-0.83635259030155751</v>
      </c>
      <c r="O43" s="12"/>
      <c r="P43" s="8">
        <v>88.89</v>
      </c>
      <c r="Q43" s="3"/>
      <c r="R43" s="7">
        <f t="shared" si="22"/>
        <v>2.7943278508258344E-3</v>
      </c>
      <c r="S43" s="3"/>
      <c r="T43" s="8">
        <v>543.17999999999995</v>
      </c>
      <c r="U43" s="3"/>
      <c r="V43" s="7">
        <f t="shared" si="23"/>
        <v>2.0207762194393773E-2</v>
      </c>
      <c r="W43" s="3"/>
      <c r="X43" s="8">
        <f t="shared" si="24"/>
        <v>-454.28999999999996</v>
      </c>
      <c r="Y43" s="3"/>
      <c r="Z43" s="7">
        <f t="shared" si="25"/>
        <v>-0.83635259030155751</v>
      </c>
    </row>
    <row r="44" spans="1:26" s="24" customFormat="1" hidden="1" outlineLevel="2" x14ac:dyDescent="0.3">
      <c r="A44" s="27"/>
      <c r="B44" s="12" t="str">
        <f>CONCATENATE("          ", "6118", " - ", "VACATION")</f>
        <v xml:space="preserve">          6118 - VACATION</v>
      </c>
      <c r="C44" s="12"/>
      <c r="D44" s="8">
        <v>85.64</v>
      </c>
      <c r="E44" s="3"/>
      <c r="F44" s="7">
        <f t="shared" si="18"/>
        <v>2.6921615158592015E-3</v>
      </c>
      <c r="G44" s="3"/>
      <c r="H44" s="8">
        <v>402.51</v>
      </c>
      <c r="I44" s="3"/>
      <c r="J44" s="7">
        <f t="shared" si="19"/>
        <v>1.4974458486809967E-2</v>
      </c>
      <c r="K44" s="3"/>
      <c r="L44" s="8">
        <f t="shared" si="20"/>
        <v>-316.87</v>
      </c>
      <c r="M44" s="3"/>
      <c r="N44" s="7">
        <f t="shared" si="21"/>
        <v>-0.78723509974907457</v>
      </c>
      <c r="O44" s="12"/>
      <c r="P44" s="8">
        <v>85.64</v>
      </c>
      <c r="Q44" s="3"/>
      <c r="R44" s="7">
        <f t="shared" si="22"/>
        <v>2.6921615158592015E-3</v>
      </c>
      <c r="S44" s="3"/>
      <c r="T44" s="8">
        <v>402.51</v>
      </c>
      <c r="U44" s="3"/>
      <c r="V44" s="7">
        <f t="shared" si="23"/>
        <v>1.4974458486809967E-2</v>
      </c>
      <c r="W44" s="3"/>
      <c r="X44" s="8">
        <f t="shared" si="24"/>
        <v>-316.87</v>
      </c>
      <c r="Y44" s="3"/>
      <c r="Z44" s="7">
        <f t="shared" si="25"/>
        <v>-0.78723509974907457</v>
      </c>
    </row>
    <row r="45" spans="1:26" s="24" customFormat="1" hidden="1" outlineLevel="2" x14ac:dyDescent="0.3">
      <c r="A45" s="27"/>
      <c r="B45" s="12" t="str">
        <f>CONCATENATE("          ", "6119", " - ", "SICK LEAVE")</f>
        <v xml:space="preserve">          6119 - SICK LEAVE</v>
      </c>
      <c r="C45" s="12"/>
      <c r="D45" s="8">
        <v>54.02</v>
      </c>
      <c r="E45" s="3"/>
      <c r="F45" s="7">
        <f t="shared" si="18"/>
        <v>1.6981616661223037E-3</v>
      </c>
      <c r="G45" s="3"/>
      <c r="H45" s="8">
        <v>223.35</v>
      </c>
      <c r="I45" s="3"/>
      <c r="J45" s="7">
        <f t="shared" si="19"/>
        <v>8.3092228839755679E-3</v>
      </c>
      <c r="K45" s="3"/>
      <c r="L45" s="8">
        <f t="shared" si="20"/>
        <v>-169.32999999999998</v>
      </c>
      <c r="M45" s="3"/>
      <c r="N45" s="7">
        <f t="shared" si="21"/>
        <v>-0.75813745242892316</v>
      </c>
      <c r="O45" s="12"/>
      <c r="P45" s="8">
        <v>54.02</v>
      </c>
      <c r="Q45" s="3"/>
      <c r="R45" s="7">
        <f t="shared" si="22"/>
        <v>1.6981616661223037E-3</v>
      </c>
      <c r="S45" s="3"/>
      <c r="T45" s="8">
        <v>223.35</v>
      </c>
      <c r="U45" s="3"/>
      <c r="V45" s="7">
        <f t="shared" si="23"/>
        <v>8.3092228839755679E-3</v>
      </c>
      <c r="W45" s="3"/>
      <c r="X45" s="8">
        <f t="shared" si="24"/>
        <v>-169.32999999999998</v>
      </c>
      <c r="Y45" s="3"/>
      <c r="Z45" s="7">
        <f t="shared" si="25"/>
        <v>-0.75813745242892316</v>
      </c>
    </row>
    <row r="46" spans="1:26" s="24" customFormat="1" hidden="1" outlineLevel="2" x14ac:dyDescent="0.3">
      <c r="A46" s="27"/>
      <c r="B46" s="12" t="str">
        <f>CONCATENATE("          ", "6156", " - ", "EMPLOYEE MEALS")</f>
        <v xml:space="preserve">          6156 - EMPLOYEE MEALS</v>
      </c>
      <c r="C46" s="12"/>
      <c r="D46" s="8">
        <v>98.98</v>
      </c>
      <c r="E46" s="3"/>
      <c r="F46" s="7">
        <f t="shared" si="18"/>
        <v>3.1115150261530103E-3</v>
      </c>
      <c r="G46" s="3"/>
      <c r="H46" s="8">
        <v>76.48</v>
      </c>
      <c r="I46" s="3"/>
      <c r="J46" s="7">
        <f t="shared" si="19"/>
        <v>2.8452624408616587E-3</v>
      </c>
      <c r="K46" s="3"/>
      <c r="L46" s="8">
        <f t="shared" si="20"/>
        <v>22.5</v>
      </c>
      <c r="M46" s="3"/>
      <c r="N46" s="7">
        <f t="shared" si="21"/>
        <v>0.29419456066945604</v>
      </c>
      <c r="O46" s="12"/>
      <c r="P46" s="8">
        <v>98.98</v>
      </c>
      <c r="Q46" s="3"/>
      <c r="R46" s="7">
        <f t="shared" si="22"/>
        <v>3.1115150261530103E-3</v>
      </c>
      <c r="S46" s="3"/>
      <c r="T46" s="8">
        <v>76.48</v>
      </c>
      <c r="U46" s="3"/>
      <c r="V46" s="7">
        <f t="shared" si="23"/>
        <v>2.8452624408616587E-3</v>
      </c>
      <c r="W46" s="3"/>
      <c r="X46" s="8">
        <f t="shared" si="24"/>
        <v>22.5</v>
      </c>
      <c r="Y46" s="3"/>
      <c r="Z46" s="7">
        <f t="shared" si="25"/>
        <v>0.29419456066945604</v>
      </c>
    </row>
    <row r="47" spans="1:26" s="29" customFormat="1" outlineLevel="1" collapsed="1" x14ac:dyDescent="0.3">
      <c r="A47" s="28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6539.68</v>
      </c>
      <c r="E47" s="1"/>
      <c r="F47" s="5">
        <f t="shared" ref="F47:F52" si="26">IF(D$12=0,0,D47/D$12)</f>
        <v>0.20558004229371912</v>
      </c>
      <c r="G47" s="1"/>
      <c r="H47" s="1">
        <f>SUM(OSRRefH22_1x_0)</f>
        <v>11018.7</v>
      </c>
      <c r="I47" s="1"/>
      <c r="J47" s="5">
        <f t="shared" ref="J47:J52" si="27">IF(H$12=0,0,H47/H$12)</f>
        <v>0.40992538254605598</v>
      </c>
      <c r="K47" s="1"/>
      <c r="L47" s="1">
        <f t="shared" ref="L47:L52" si="28">+D47-H47</f>
        <v>-4479.0200000000004</v>
      </c>
      <c r="M47" s="1"/>
      <c r="N47" s="5">
        <f t="shared" ref="N47:N52" si="29">IF(H47=0,0,L47/H47)</f>
        <v>-0.40649259894542916</v>
      </c>
      <c r="O47" s="14"/>
      <c r="P47" s="1">
        <f>SUM(OSRRefP22_1x_0)</f>
        <v>6539.68</v>
      </c>
      <c r="Q47" s="1"/>
      <c r="R47" s="5">
        <f t="shared" ref="R47:R52" si="30">IF(P$12=0,0,P47/P$12)</f>
        <v>0.20558004229371912</v>
      </c>
      <c r="S47" s="1"/>
      <c r="T47" s="1">
        <f>SUM(OSRRefT22_1x_0)</f>
        <v>11018.7</v>
      </c>
      <c r="U47" s="1"/>
      <c r="V47" s="5">
        <f t="shared" ref="V47:V52" si="31">IF(T$12=0,0,T47/T$12)</f>
        <v>0.40992538254605598</v>
      </c>
      <c r="W47" s="1"/>
      <c r="X47" s="1">
        <f t="shared" ref="X47:X52" si="32">+P47-T47</f>
        <v>-4479.0200000000004</v>
      </c>
      <c r="Y47" s="1"/>
      <c r="Z47" s="5">
        <f t="shared" ref="Z47:Z52" si="33">IF(T47=0,0,X47/T47)</f>
        <v>-0.40649259894542916</v>
      </c>
    </row>
    <row r="48" spans="1:26" s="24" customFormat="1" hidden="1" outlineLevel="2" x14ac:dyDescent="0.3">
      <c r="A48" s="27"/>
      <c r="B48" s="12" t="str">
        <f>CONCATENATE("          ", "6002", " - ", "STAFF SALARIES")</f>
        <v xml:space="preserve">          6002 - STAFF SALARIES</v>
      </c>
      <c r="C48" s="12"/>
      <c r="D48" s="8">
        <v>1405.6</v>
      </c>
      <c r="E48" s="3"/>
      <c r="F48" s="7">
        <f t="shared" si="26"/>
        <v>4.4186153978184185E-2</v>
      </c>
      <c r="G48" s="3"/>
      <c r="H48" s="8">
        <v>5855.62</v>
      </c>
      <c r="I48" s="3"/>
      <c r="J48" s="7">
        <f t="shared" si="27"/>
        <v>0.21784486995238422</v>
      </c>
      <c r="K48" s="3"/>
      <c r="L48" s="8">
        <f t="shared" si="28"/>
        <v>-4450.0200000000004</v>
      </c>
      <c r="M48" s="3"/>
      <c r="N48" s="7">
        <f t="shared" si="29"/>
        <v>-0.7599571010413928</v>
      </c>
      <c r="O48" s="12"/>
      <c r="P48" s="8">
        <v>1405.6</v>
      </c>
      <c r="Q48" s="3"/>
      <c r="R48" s="7">
        <f t="shared" si="30"/>
        <v>4.4186153978184185E-2</v>
      </c>
      <c r="S48" s="3"/>
      <c r="T48" s="8">
        <v>5855.62</v>
      </c>
      <c r="U48" s="3"/>
      <c r="V48" s="7">
        <f t="shared" si="31"/>
        <v>0.21784486995238422</v>
      </c>
      <c r="W48" s="3"/>
      <c r="X48" s="8">
        <f t="shared" si="32"/>
        <v>-4450.0200000000004</v>
      </c>
      <c r="Y48" s="3"/>
      <c r="Z48" s="7">
        <f t="shared" si="33"/>
        <v>-0.7599571010413928</v>
      </c>
    </row>
    <row r="49" spans="1:26" s="24" customFormat="1" hidden="1" outlineLevel="2" x14ac:dyDescent="0.3">
      <c r="A49" s="27"/>
      <c r="B49" s="12" t="str">
        <f>CONCATENATE("          ", "6004", " - ", "STAFF HOURLY")</f>
        <v xml:space="preserve">          6004 - STAFF HOURLY</v>
      </c>
      <c r="C49" s="12"/>
      <c r="D49" s="8">
        <v>231.35</v>
      </c>
      <c r="E49" s="3"/>
      <c r="F49" s="7">
        <f t="shared" si="26"/>
        <v>7.2726712598555152E-3</v>
      </c>
      <c r="G49" s="3"/>
      <c r="H49" s="8">
        <v>2750.47</v>
      </c>
      <c r="I49" s="3"/>
      <c r="J49" s="7">
        <f t="shared" si="27"/>
        <v>0.10232490828604558</v>
      </c>
      <c r="K49" s="3"/>
      <c r="L49" s="8">
        <f t="shared" si="28"/>
        <v>-2519.12</v>
      </c>
      <c r="M49" s="3"/>
      <c r="N49" s="7">
        <f t="shared" si="29"/>
        <v>-0.915887102931499</v>
      </c>
      <c r="O49" s="12"/>
      <c r="P49" s="8">
        <v>231.35</v>
      </c>
      <c r="Q49" s="3"/>
      <c r="R49" s="7">
        <f t="shared" si="30"/>
        <v>7.2726712598555152E-3</v>
      </c>
      <c r="S49" s="3"/>
      <c r="T49" s="8">
        <v>2750.47</v>
      </c>
      <c r="U49" s="3"/>
      <c r="V49" s="7">
        <f t="shared" si="31"/>
        <v>0.10232490828604558</v>
      </c>
      <c r="W49" s="3"/>
      <c r="X49" s="8">
        <f t="shared" si="32"/>
        <v>-2519.12</v>
      </c>
      <c r="Y49" s="3"/>
      <c r="Z49" s="7">
        <f t="shared" si="33"/>
        <v>-0.915887102931499</v>
      </c>
    </row>
    <row r="50" spans="1:26" s="24" customFormat="1" hidden="1" outlineLevel="2" x14ac:dyDescent="0.3">
      <c r="A50" s="27"/>
      <c r="B50" s="12" t="str">
        <f>CONCATENATE("          ", "6005", " - ", "TEMPORARY WAGES-HOURLY")</f>
        <v xml:space="preserve">          6005 - TEMPORARY WAGES-HOURLY</v>
      </c>
      <c r="C50" s="12"/>
      <c r="D50" s="8">
        <v>1351.21</v>
      </c>
      <c r="E50" s="3"/>
      <c r="F50" s="7">
        <f t="shared" si="26"/>
        <v>4.2476361067773374E-2</v>
      </c>
      <c r="G50" s="3"/>
      <c r="H50" s="8">
        <v>1210.6099999999999</v>
      </c>
      <c r="I50" s="3"/>
      <c r="J50" s="7">
        <f t="shared" si="27"/>
        <v>4.5037959774209366E-2</v>
      </c>
      <c r="K50" s="3"/>
      <c r="L50" s="8">
        <f t="shared" si="28"/>
        <v>140.60000000000014</v>
      </c>
      <c r="M50" s="3"/>
      <c r="N50" s="7">
        <f t="shared" si="29"/>
        <v>0.11613979729227426</v>
      </c>
      <c r="O50" s="12"/>
      <c r="P50" s="8">
        <v>1351.21</v>
      </c>
      <c r="Q50" s="3"/>
      <c r="R50" s="7">
        <f t="shared" si="30"/>
        <v>4.2476361067773374E-2</v>
      </c>
      <c r="S50" s="3"/>
      <c r="T50" s="8">
        <v>1210.6099999999999</v>
      </c>
      <c r="U50" s="3"/>
      <c r="V50" s="7">
        <f t="shared" si="31"/>
        <v>4.5037959774209366E-2</v>
      </c>
      <c r="W50" s="3"/>
      <c r="X50" s="8">
        <f t="shared" si="32"/>
        <v>140.60000000000014</v>
      </c>
      <c r="Y50" s="3"/>
      <c r="Z50" s="7">
        <f t="shared" si="33"/>
        <v>0.11613979729227426</v>
      </c>
    </row>
    <row r="51" spans="1:26" s="24" customFormat="1" hidden="1" outlineLevel="2" x14ac:dyDescent="0.3">
      <c r="A51" s="27"/>
      <c r="B51" s="12" t="str">
        <f>CONCATENATE("          ", "6007", " - ", "STUDENT HOURLY")</f>
        <v xml:space="preserve">          6007 - STUDENT HOURLY</v>
      </c>
      <c r="C51" s="12"/>
      <c r="D51" s="8">
        <v>3257.77</v>
      </c>
      <c r="E51" s="3"/>
      <c r="F51" s="7">
        <f t="shared" si="26"/>
        <v>0.10241059109669116</v>
      </c>
      <c r="G51" s="3"/>
      <c r="H51" s="8">
        <v>1202</v>
      </c>
      <c r="I51" s="3"/>
      <c r="J51" s="7">
        <f t="shared" si="27"/>
        <v>4.4717644533416763E-2</v>
      </c>
      <c r="K51" s="3"/>
      <c r="L51" s="8">
        <f t="shared" si="28"/>
        <v>2055.77</v>
      </c>
      <c r="M51" s="3"/>
      <c r="N51" s="7">
        <f t="shared" si="29"/>
        <v>1.7102911813643926</v>
      </c>
      <c r="O51" s="12"/>
      <c r="P51" s="8">
        <v>3257.77</v>
      </c>
      <c r="Q51" s="3"/>
      <c r="R51" s="7">
        <f t="shared" si="30"/>
        <v>0.10241059109669116</v>
      </c>
      <c r="S51" s="3"/>
      <c r="T51" s="8">
        <v>1202</v>
      </c>
      <c r="U51" s="3"/>
      <c r="V51" s="7">
        <f t="shared" si="31"/>
        <v>4.4717644533416763E-2</v>
      </c>
      <c r="W51" s="3"/>
      <c r="X51" s="8">
        <f t="shared" si="32"/>
        <v>2055.77</v>
      </c>
      <c r="Y51" s="3"/>
      <c r="Z51" s="7">
        <f t="shared" si="33"/>
        <v>1.7102911813643926</v>
      </c>
    </row>
    <row r="52" spans="1:26" s="24" customFormat="1" hidden="1" outlineLevel="2" x14ac:dyDescent="0.3">
      <c r="A52" s="27"/>
      <c r="B52" s="12" t="str">
        <f>CONCATENATE("          ", "6008", " - ", "STUDENT HOURLY-FICA EXEMPT")</f>
        <v xml:space="preserve">          6008 - STUDENT HOURLY-FICA EXEMPT</v>
      </c>
      <c r="C52" s="12"/>
      <c r="D52" s="8">
        <v>293.75</v>
      </c>
      <c r="E52" s="3"/>
      <c r="F52" s="7">
        <f t="shared" si="26"/>
        <v>9.2342648912148578E-3</v>
      </c>
      <c r="G52" s="3"/>
      <c r="H52" s="8"/>
      <c r="I52" s="3"/>
      <c r="J52" s="7">
        <f t="shared" si="27"/>
        <v>0</v>
      </c>
      <c r="K52" s="3"/>
      <c r="L52" s="8">
        <f t="shared" si="28"/>
        <v>293.75</v>
      </c>
      <c r="M52" s="3"/>
      <c r="N52" s="7">
        <f t="shared" si="29"/>
        <v>0</v>
      </c>
      <c r="O52" s="12"/>
      <c r="P52" s="8">
        <v>293.75</v>
      </c>
      <c r="Q52" s="3"/>
      <c r="R52" s="7">
        <f t="shared" si="30"/>
        <v>9.2342648912148578E-3</v>
      </c>
      <c r="S52" s="3"/>
      <c r="T52" s="8"/>
      <c r="U52" s="3"/>
      <c r="V52" s="7">
        <f t="shared" si="31"/>
        <v>0</v>
      </c>
      <c r="W52" s="3"/>
      <c r="X52" s="8">
        <f t="shared" si="32"/>
        <v>293.75</v>
      </c>
      <c r="Y52" s="3"/>
      <c r="Z52" s="7">
        <f t="shared" si="33"/>
        <v>0</v>
      </c>
    </row>
    <row r="53" spans="1:26" s="29" customFormat="1" outlineLevel="1" collapsed="1" x14ac:dyDescent="0.3">
      <c r="A53" s="28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195</v>
      </c>
      <c r="E53" s="1"/>
      <c r="F53" s="5">
        <f t="shared" ref="F53:F69" si="34">IF(D$12=0,0,D53/D$12)</f>
        <v>6.1299800979979484E-3</v>
      </c>
      <c r="G53" s="1"/>
      <c r="H53" s="1">
        <f>SUM(OSRRefH22_2x_0)</f>
        <v>0</v>
      </c>
      <c r="I53" s="1"/>
      <c r="J53" s="5">
        <f t="shared" ref="J53:J69" si="35">IF(H$12=0,0,H53/H$12)</f>
        <v>0</v>
      </c>
      <c r="K53" s="1"/>
      <c r="L53" s="1">
        <f t="shared" ref="L53:L69" si="36">+D53-H53</f>
        <v>195</v>
      </c>
      <c r="M53" s="1"/>
      <c r="N53" s="5">
        <f t="shared" ref="N53:N69" si="37">IF(H53=0,0,L53/H53)</f>
        <v>0</v>
      </c>
      <c r="O53" s="14"/>
      <c r="P53" s="1">
        <f>SUM(OSRRefP22_2x_0)</f>
        <v>195</v>
      </c>
      <c r="Q53" s="1"/>
      <c r="R53" s="5">
        <f t="shared" ref="R53:R69" si="38">IF(P$12=0,0,P53/P$12)</f>
        <v>6.1299800979979484E-3</v>
      </c>
      <c r="S53" s="1"/>
      <c r="T53" s="1">
        <f>SUM(OSRRefT22_2x_0)</f>
        <v>0</v>
      </c>
      <c r="U53" s="1"/>
      <c r="V53" s="5">
        <f t="shared" ref="V53:V69" si="39">IF(T$12=0,0,T53/T$12)</f>
        <v>0</v>
      </c>
      <c r="W53" s="1"/>
      <c r="X53" s="1">
        <f t="shared" ref="X53:X69" si="40">+P53-T53</f>
        <v>195</v>
      </c>
      <c r="Y53" s="1"/>
      <c r="Z53" s="5">
        <f t="shared" ref="Z53:Z69" si="41">IF(T53=0,0,X53/T53)</f>
        <v>0</v>
      </c>
    </row>
    <row r="54" spans="1:26" s="24" customFormat="1" hidden="1" outlineLevel="2" x14ac:dyDescent="0.3">
      <c r="A54" s="27"/>
      <c r="B54" s="12" t="str">
        <f>CONCATENATE("          ", "6362", " - ", "ADVERTISING EXPENSE")</f>
        <v xml:space="preserve">          6362 - ADVERTISING EXPENSE</v>
      </c>
      <c r="C54" s="12"/>
      <c r="D54" s="8">
        <v>195</v>
      </c>
      <c r="E54" s="3"/>
      <c r="F54" s="7">
        <f t="shared" si="34"/>
        <v>6.1299800979979484E-3</v>
      </c>
      <c r="G54" s="3"/>
      <c r="H54" s="8"/>
      <c r="I54" s="3"/>
      <c r="J54" s="7">
        <f t="shared" si="35"/>
        <v>0</v>
      </c>
      <c r="K54" s="3"/>
      <c r="L54" s="8">
        <f t="shared" si="36"/>
        <v>195</v>
      </c>
      <c r="M54" s="3"/>
      <c r="N54" s="7">
        <f t="shared" si="37"/>
        <v>0</v>
      </c>
      <c r="O54" s="12"/>
      <c r="P54" s="8">
        <v>195</v>
      </c>
      <c r="Q54" s="3"/>
      <c r="R54" s="7">
        <f t="shared" si="38"/>
        <v>6.1299800979979484E-3</v>
      </c>
      <c r="S54" s="3"/>
      <c r="T54" s="8"/>
      <c r="U54" s="3"/>
      <c r="V54" s="7">
        <f t="shared" si="39"/>
        <v>0</v>
      </c>
      <c r="W54" s="3"/>
      <c r="X54" s="8">
        <f t="shared" si="40"/>
        <v>195</v>
      </c>
      <c r="Y54" s="3"/>
      <c r="Z54" s="7">
        <f t="shared" si="41"/>
        <v>0</v>
      </c>
    </row>
    <row r="55" spans="1:26" s="29" customFormat="1" outlineLevel="1" collapsed="1" x14ac:dyDescent="0.3">
      <c r="A55" s="28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0.6</v>
      </c>
      <c r="E55" s="1"/>
      <c r="F55" s="5">
        <f t="shared" si="34"/>
        <v>1.8861477224609071E-5</v>
      </c>
      <c r="G55" s="1"/>
      <c r="H55" s="1">
        <f>SUM(OSRRefH22_3x_0)</f>
        <v>-0.9</v>
      </c>
      <c r="I55" s="1"/>
      <c r="J55" s="5">
        <f t="shared" si="35"/>
        <v>-3.3482429351143996E-5</v>
      </c>
      <c r="K55" s="1"/>
      <c r="L55" s="1">
        <f t="shared" si="36"/>
        <v>1.5</v>
      </c>
      <c r="M55" s="1"/>
      <c r="N55" s="5">
        <f t="shared" si="37"/>
        <v>-1.6666666666666665</v>
      </c>
      <c r="O55" s="14"/>
      <c r="P55" s="1">
        <f>SUM(OSRRefP22_3x_0)</f>
        <v>0.6</v>
      </c>
      <c r="Q55" s="1"/>
      <c r="R55" s="5">
        <f t="shared" si="38"/>
        <v>1.8861477224609071E-5</v>
      </c>
      <c r="S55" s="1"/>
      <c r="T55" s="1">
        <f>SUM(OSRRefT22_3x_0)</f>
        <v>-0.9</v>
      </c>
      <c r="U55" s="1"/>
      <c r="V55" s="5">
        <f t="shared" si="39"/>
        <v>-3.3482429351143996E-5</v>
      </c>
      <c r="W55" s="1"/>
      <c r="X55" s="1">
        <f t="shared" si="40"/>
        <v>1.5</v>
      </c>
      <c r="Y55" s="1"/>
      <c r="Z55" s="5">
        <f t="shared" si="41"/>
        <v>-1.6666666666666665</v>
      </c>
    </row>
    <row r="56" spans="1:26" s="24" customFormat="1" hidden="1" outlineLevel="2" x14ac:dyDescent="0.3">
      <c r="A56" s="27"/>
      <c r="B56" s="12" t="str">
        <f>CONCATENATE("          ", "6272", " - ", "CASH (OVER/SHORT)")</f>
        <v xml:space="preserve">          6272 - CASH (OVER/SHORT)</v>
      </c>
      <c r="C56" s="12"/>
      <c r="D56" s="8">
        <v>0.6</v>
      </c>
      <c r="E56" s="3"/>
      <c r="F56" s="7">
        <f t="shared" si="34"/>
        <v>1.8861477224609071E-5</v>
      </c>
      <c r="G56" s="3"/>
      <c r="H56" s="8">
        <v>-0.9</v>
      </c>
      <c r="I56" s="3"/>
      <c r="J56" s="7">
        <f t="shared" si="35"/>
        <v>-3.3482429351143996E-5</v>
      </c>
      <c r="K56" s="3"/>
      <c r="L56" s="8">
        <f t="shared" si="36"/>
        <v>1.5</v>
      </c>
      <c r="M56" s="3"/>
      <c r="N56" s="7">
        <f t="shared" si="37"/>
        <v>-1.6666666666666665</v>
      </c>
      <c r="O56" s="12"/>
      <c r="P56" s="8">
        <v>0.6</v>
      </c>
      <c r="Q56" s="3"/>
      <c r="R56" s="7">
        <f t="shared" si="38"/>
        <v>1.8861477224609071E-5</v>
      </c>
      <c r="S56" s="3"/>
      <c r="T56" s="8">
        <v>-0.9</v>
      </c>
      <c r="U56" s="3"/>
      <c r="V56" s="7">
        <f t="shared" si="39"/>
        <v>-3.3482429351143996E-5</v>
      </c>
      <c r="W56" s="3"/>
      <c r="X56" s="8">
        <f t="shared" si="40"/>
        <v>1.5</v>
      </c>
      <c r="Y56" s="3"/>
      <c r="Z56" s="7">
        <f t="shared" si="41"/>
        <v>-1.6666666666666665</v>
      </c>
    </row>
    <row r="57" spans="1:26" s="29" customFormat="1" outlineLevel="1" collapsed="1" x14ac:dyDescent="0.3">
      <c r="A57" s="28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492.32</v>
      </c>
      <c r="E57" s="1"/>
      <c r="F57" s="5">
        <f t="shared" si="34"/>
        <v>1.5476470778699231E-2</v>
      </c>
      <c r="G57" s="1"/>
      <c r="H57" s="1">
        <f>SUM(OSRRefH22_4x_0)</f>
        <v>306.89</v>
      </c>
      <c r="I57" s="1"/>
      <c r="J57" s="5">
        <f t="shared" si="35"/>
        <v>1.1417136381747312E-2</v>
      </c>
      <c r="K57" s="1"/>
      <c r="L57" s="1">
        <f t="shared" si="36"/>
        <v>185.43</v>
      </c>
      <c r="M57" s="1"/>
      <c r="N57" s="5">
        <f t="shared" si="37"/>
        <v>0.6042230115024928</v>
      </c>
      <c r="O57" s="14"/>
      <c r="P57" s="1">
        <f>SUM(OSRRefP22_4x_0)</f>
        <v>492.32</v>
      </c>
      <c r="Q57" s="1"/>
      <c r="R57" s="5">
        <f t="shared" si="38"/>
        <v>1.5476470778699231E-2</v>
      </c>
      <c r="S57" s="1"/>
      <c r="T57" s="1">
        <f>SUM(OSRRefT22_4x_0)</f>
        <v>306.89</v>
      </c>
      <c r="U57" s="1"/>
      <c r="V57" s="5">
        <f t="shared" si="39"/>
        <v>1.1417136381747312E-2</v>
      </c>
      <c r="W57" s="1"/>
      <c r="X57" s="1">
        <f t="shared" si="40"/>
        <v>185.43</v>
      </c>
      <c r="Y57" s="1"/>
      <c r="Z57" s="5">
        <f t="shared" si="41"/>
        <v>0.6042230115024928</v>
      </c>
    </row>
    <row r="58" spans="1:26" s="24" customFormat="1" hidden="1" outlineLevel="2" x14ac:dyDescent="0.3">
      <c r="A58" s="27"/>
      <c r="B58" s="12" t="str">
        <f>CONCATENATE("          ", "6381", " - ", "BANK/CREDIT CARD FEES")</f>
        <v xml:space="preserve">          6381 - BANK/CREDIT CARD FEES</v>
      </c>
      <c r="C58" s="12"/>
      <c r="D58" s="8">
        <v>492.32</v>
      </c>
      <c r="E58" s="3"/>
      <c r="F58" s="7">
        <f t="shared" si="34"/>
        <v>1.5476470778699231E-2</v>
      </c>
      <c r="G58" s="3"/>
      <c r="H58" s="8">
        <v>306.89</v>
      </c>
      <c r="I58" s="3"/>
      <c r="J58" s="7">
        <f t="shared" si="35"/>
        <v>1.1417136381747312E-2</v>
      </c>
      <c r="K58" s="3"/>
      <c r="L58" s="8">
        <f t="shared" si="36"/>
        <v>185.43</v>
      </c>
      <c r="M58" s="3"/>
      <c r="N58" s="7">
        <f t="shared" si="37"/>
        <v>0.6042230115024928</v>
      </c>
      <c r="O58" s="12"/>
      <c r="P58" s="8">
        <v>492.32</v>
      </c>
      <c r="Q58" s="3"/>
      <c r="R58" s="7">
        <f t="shared" si="38"/>
        <v>1.5476470778699231E-2</v>
      </c>
      <c r="S58" s="3"/>
      <c r="T58" s="8">
        <v>306.89</v>
      </c>
      <c r="U58" s="3"/>
      <c r="V58" s="7">
        <f t="shared" si="39"/>
        <v>1.1417136381747312E-2</v>
      </c>
      <c r="W58" s="3"/>
      <c r="X58" s="8">
        <f t="shared" si="40"/>
        <v>185.43</v>
      </c>
      <c r="Y58" s="3"/>
      <c r="Z58" s="7">
        <f t="shared" si="41"/>
        <v>0.6042230115024928</v>
      </c>
    </row>
    <row r="59" spans="1:26" s="29" customFormat="1" outlineLevel="1" collapsed="1" x14ac:dyDescent="0.3">
      <c r="A59" s="28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0</v>
      </c>
      <c r="E59" s="1"/>
      <c r="F59" s="5">
        <f t="shared" si="34"/>
        <v>0</v>
      </c>
      <c r="G59" s="1"/>
      <c r="H59" s="1">
        <f>SUM(OSRRefH22_5x_0)</f>
        <v>0</v>
      </c>
      <c r="I59" s="1"/>
      <c r="J59" s="5">
        <f t="shared" si="35"/>
        <v>0</v>
      </c>
      <c r="K59" s="1"/>
      <c r="L59" s="1">
        <f t="shared" si="36"/>
        <v>0</v>
      </c>
      <c r="M59" s="1"/>
      <c r="N59" s="5">
        <f t="shared" si="37"/>
        <v>0</v>
      </c>
      <c r="O59" s="14"/>
      <c r="P59" s="1">
        <f>SUM(OSRRefP22_5x_0)</f>
        <v>0</v>
      </c>
      <c r="Q59" s="1"/>
      <c r="R59" s="5">
        <f t="shared" si="38"/>
        <v>0</v>
      </c>
      <c r="S59" s="1"/>
      <c r="T59" s="1">
        <f>SUM(OSRRefT22_5x_0)</f>
        <v>0</v>
      </c>
      <c r="U59" s="1"/>
      <c r="V59" s="5">
        <f t="shared" si="39"/>
        <v>0</v>
      </c>
      <c r="W59" s="1"/>
      <c r="X59" s="1">
        <f t="shared" si="40"/>
        <v>0</v>
      </c>
      <c r="Y59" s="1"/>
      <c r="Z59" s="5">
        <f t="shared" si="41"/>
        <v>0</v>
      </c>
    </row>
    <row r="60" spans="1:26" s="24" customFormat="1" hidden="1" outlineLevel="2" x14ac:dyDescent="0.3">
      <c r="A60" s="27"/>
      <c r="B60" s="12" t="str">
        <f>CONCATENATE("          ", "6382", " - ", "DISCOUNTS/MARK DOWNS")</f>
        <v xml:space="preserve">          6382 - DISCOUNTS/MARK DOWNS</v>
      </c>
      <c r="C60" s="12"/>
      <c r="D60" s="8"/>
      <c r="E60" s="3"/>
      <c r="F60" s="7">
        <f t="shared" si="34"/>
        <v>0</v>
      </c>
      <c r="G60" s="3"/>
      <c r="H60" s="8">
        <v>0</v>
      </c>
      <c r="I60" s="3"/>
      <c r="J60" s="7">
        <f t="shared" si="35"/>
        <v>0</v>
      </c>
      <c r="K60" s="3"/>
      <c r="L60" s="8">
        <f t="shared" si="36"/>
        <v>0</v>
      </c>
      <c r="M60" s="3"/>
      <c r="N60" s="7">
        <f t="shared" si="37"/>
        <v>0</v>
      </c>
      <c r="O60" s="12"/>
      <c r="P60" s="8"/>
      <c r="Q60" s="3"/>
      <c r="R60" s="7">
        <f t="shared" si="38"/>
        <v>0</v>
      </c>
      <c r="S60" s="3"/>
      <c r="T60" s="8">
        <v>0</v>
      </c>
      <c r="U60" s="3"/>
      <c r="V60" s="7">
        <f t="shared" si="39"/>
        <v>0</v>
      </c>
      <c r="W60" s="3"/>
      <c r="X60" s="8">
        <f t="shared" si="40"/>
        <v>0</v>
      </c>
      <c r="Y60" s="3"/>
      <c r="Z60" s="7">
        <f t="shared" si="41"/>
        <v>0</v>
      </c>
    </row>
    <row r="61" spans="1:26" s="29" customFormat="1" outlineLevel="1" collapsed="1" x14ac:dyDescent="0.3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SUM(OSRRefD22_6x_0)</f>
        <v>219.08</v>
      </c>
      <c r="E61" s="1"/>
      <c r="F61" s="5">
        <f t="shared" si="34"/>
        <v>6.8869540506122599E-3</v>
      </c>
      <c r="G61" s="1"/>
      <c r="H61" s="1">
        <f>SUM(OSRRefH22_6x_0)</f>
        <v>161.18</v>
      </c>
      <c r="I61" s="1"/>
      <c r="J61" s="5">
        <f t="shared" si="35"/>
        <v>5.9963310697970992E-3</v>
      </c>
      <c r="K61" s="1"/>
      <c r="L61" s="1">
        <f t="shared" si="36"/>
        <v>57.900000000000006</v>
      </c>
      <c r="M61" s="1"/>
      <c r="N61" s="5">
        <f t="shared" si="37"/>
        <v>0.35922571038590395</v>
      </c>
      <c r="O61" s="14"/>
      <c r="P61" s="1">
        <f>SUM(OSRRefP22_6x_0)</f>
        <v>219.08</v>
      </c>
      <c r="Q61" s="1"/>
      <c r="R61" s="5">
        <f t="shared" si="38"/>
        <v>6.8869540506122599E-3</v>
      </c>
      <c r="S61" s="1"/>
      <c r="T61" s="1">
        <f>SUM(OSRRefT22_6x_0)</f>
        <v>161.18</v>
      </c>
      <c r="U61" s="1"/>
      <c r="V61" s="5">
        <f t="shared" si="39"/>
        <v>5.9963310697970992E-3</v>
      </c>
      <c r="W61" s="1"/>
      <c r="X61" s="1">
        <f t="shared" si="40"/>
        <v>57.900000000000006</v>
      </c>
      <c r="Y61" s="1"/>
      <c r="Z61" s="5">
        <f t="shared" si="41"/>
        <v>0.35922571038590395</v>
      </c>
    </row>
    <row r="62" spans="1:26" s="24" customFormat="1" hidden="1" outlineLevel="2" x14ac:dyDescent="0.3">
      <c r="A62" s="27"/>
      <c r="B62" s="12" t="str">
        <f>CONCATENATE("          ", "6314", " - ", "LIABILITY INSURANCE")</f>
        <v xml:space="preserve">          6314 - LIABILITY INSURANCE</v>
      </c>
      <c r="C62" s="12"/>
      <c r="D62" s="8">
        <v>219.08</v>
      </c>
      <c r="E62" s="3"/>
      <c r="F62" s="7">
        <f t="shared" si="34"/>
        <v>6.8869540506122599E-3</v>
      </c>
      <c r="G62" s="3"/>
      <c r="H62" s="8">
        <v>161.18</v>
      </c>
      <c r="I62" s="3"/>
      <c r="J62" s="7">
        <f t="shared" si="35"/>
        <v>5.9963310697970992E-3</v>
      </c>
      <c r="K62" s="3"/>
      <c r="L62" s="8">
        <f t="shared" si="36"/>
        <v>57.900000000000006</v>
      </c>
      <c r="M62" s="3"/>
      <c r="N62" s="7">
        <f t="shared" si="37"/>
        <v>0.35922571038590395</v>
      </c>
      <c r="O62" s="12"/>
      <c r="P62" s="8">
        <v>219.08</v>
      </c>
      <c r="Q62" s="3"/>
      <c r="R62" s="7">
        <f t="shared" si="38"/>
        <v>6.8869540506122599E-3</v>
      </c>
      <c r="S62" s="3"/>
      <c r="T62" s="8">
        <v>161.18</v>
      </c>
      <c r="U62" s="3"/>
      <c r="V62" s="7">
        <f t="shared" si="39"/>
        <v>5.9963310697970992E-3</v>
      </c>
      <c r="W62" s="3"/>
      <c r="X62" s="8">
        <f t="shared" si="40"/>
        <v>57.900000000000006</v>
      </c>
      <c r="Y62" s="3"/>
      <c r="Z62" s="7">
        <f t="shared" si="41"/>
        <v>0.35922571038590395</v>
      </c>
    </row>
    <row r="63" spans="1:26" s="29" customFormat="1" outlineLevel="1" collapsed="1" x14ac:dyDescent="0.3">
      <c r="A63" s="28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SUM(OSRRefD22_7x_0)</f>
        <v>100</v>
      </c>
      <c r="E63" s="1"/>
      <c r="F63" s="5">
        <f t="shared" si="34"/>
        <v>3.1435795374348454E-3</v>
      </c>
      <c r="G63" s="1"/>
      <c r="H63" s="1">
        <f>SUM(OSRRefH22_7x_0)</f>
        <v>100</v>
      </c>
      <c r="I63" s="1"/>
      <c r="J63" s="5">
        <f t="shared" si="35"/>
        <v>3.7202699279048883E-3</v>
      </c>
      <c r="K63" s="1"/>
      <c r="L63" s="1">
        <f t="shared" si="36"/>
        <v>0</v>
      </c>
      <c r="M63" s="1"/>
      <c r="N63" s="5">
        <f t="shared" si="37"/>
        <v>0</v>
      </c>
      <c r="O63" s="14"/>
      <c r="P63" s="1">
        <f>SUM(OSRRefP22_7x_0)</f>
        <v>100</v>
      </c>
      <c r="Q63" s="1"/>
      <c r="R63" s="5">
        <f t="shared" si="38"/>
        <v>3.1435795374348454E-3</v>
      </c>
      <c r="S63" s="1"/>
      <c r="T63" s="1">
        <f>SUM(OSRRefT22_7x_0)</f>
        <v>100</v>
      </c>
      <c r="U63" s="1"/>
      <c r="V63" s="5">
        <f t="shared" si="39"/>
        <v>3.7202699279048883E-3</v>
      </c>
      <c r="W63" s="1"/>
      <c r="X63" s="1">
        <f t="shared" si="40"/>
        <v>0</v>
      </c>
      <c r="Y63" s="1"/>
      <c r="Z63" s="5">
        <f t="shared" si="41"/>
        <v>0</v>
      </c>
    </row>
    <row r="64" spans="1:26" s="24" customFormat="1" hidden="1" outlineLevel="2" x14ac:dyDescent="0.3">
      <c r="A64" s="27"/>
      <c r="B64" s="12" t="str">
        <f>CONCATENATE("          ", "6408", " - ", "INVENTORY ADJUSTMENT")</f>
        <v xml:space="preserve">          6408 - INVENTORY ADJUSTMENT</v>
      </c>
      <c r="C64" s="12"/>
      <c r="D64" s="8">
        <v>100</v>
      </c>
      <c r="E64" s="3"/>
      <c r="F64" s="7">
        <f t="shared" si="34"/>
        <v>3.1435795374348454E-3</v>
      </c>
      <c r="G64" s="3"/>
      <c r="H64" s="8">
        <v>100</v>
      </c>
      <c r="I64" s="3"/>
      <c r="J64" s="7">
        <f t="shared" si="35"/>
        <v>3.7202699279048883E-3</v>
      </c>
      <c r="K64" s="3"/>
      <c r="L64" s="8">
        <f t="shared" si="36"/>
        <v>0</v>
      </c>
      <c r="M64" s="3"/>
      <c r="N64" s="7">
        <f t="shared" si="37"/>
        <v>0</v>
      </c>
      <c r="O64" s="12"/>
      <c r="P64" s="8">
        <v>100</v>
      </c>
      <c r="Q64" s="3"/>
      <c r="R64" s="7">
        <f t="shared" si="38"/>
        <v>3.1435795374348454E-3</v>
      </c>
      <c r="S64" s="3"/>
      <c r="T64" s="8">
        <v>100</v>
      </c>
      <c r="U64" s="3"/>
      <c r="V64" s="7">
        <f t="shared" si="39"/>
        <v>3.7202699279048883E-3</v>
      </c>
      <c r="W64" s="3"/>
      <c r="X64" s="8">
        <f t="shared" si="40"/>
        <v>0</v>
      </c>
      <c r="Y64" s="3"/>
      <c r="Z64" s="7">
        <f t="shared" si="41"/>
        <v>0</v>
      </c>
    </row>
    <row r="65" spans="1:26" s="29" customFormat="1" outlineLevel="1" collapsed="1" x14ac:dyDescent="0.3">
      <c r="A65" s="28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SUM(OSRRefD22_8x_0)</f>
        <v>6900</v>
      </c>
      <c r="E65" s="1"/>
      <c r="F65" s="5">
        <f t="shared" si="34"/>
        <v>0.21690698808300435</v>
      </c>
      <c r="G65" s="1"/>
      <c r="H65" s="1">
        <f>SUM(OSRRefH22_8x_0)</f>
        <v>6900</v>
      </c>
      <c r="I65" s="1"/>
      <c r="J65" s="5">
        <f t="shared" si="35"/>
        <v>0.25669862502543733</v>
      </c>
      <c r="K65" s="1"/>
      <c r="L65" s="1">
        <f t="shared" si="36"/>
        <v>0</v>
      </c>
      <c r="M65" s="1"/>
      <c r="N65" s="5">
        <f t="shared" si="37"/>
        <v>0</v>
      </c>
      <c r="O65" s="14"/>
      <c r="P65" s="1">
        <f>SUM(OSRRefP22_8x_0)</f>
        <v>6900</v>
      </c>
      <c r="Q65" s="1"/>
      <c r="R65" s="5">
        <f t="shared" si="38"/>
        <v>0.21690698808300435</v>
      </c>
      <c r="S65" s="1"/>
      <c r="T65" s="1">
        <f>SUM(OSRRefT22_8x_0)</f>
        <v>6900</v>
      </c>
      <c r="U65" s="1"/>
      <c r="V65" s="5">
        <f t="shared" si="39"/>
        <v>0.25669862502543733</v>
      </c>
      <c r="W65" s="1"/>
      <c r="X65" s="1">
        <f t="shared" si="40"/>
        <v>0</v>
      </c>
      <c r="Y65" s="1"/>
      <c r="Z65" s="5">
        <f t="shared" si="41"/>
        <v>0</v>
      </c>
    </row>
    <row r="66" spans="1:26" s="24" customFormat="1" hidden="1" outlineLevel="2" x14ac:dyDescent="0.3">
      <c r="A66" s="27"/>
      <c r="B66" s="12" t="str">
        <f>CONCATENATE("          ", "6273", " - ", "RENT")</f>
        <v xml:space="preserve">          6273 - RENT</v>
      </c>
      <c r="C66" s="12"/>
      <c r="D66" s="8">
        <v>6900</v>
      </c>
      <c r="E66" s="3"/>
      <c r="F66" s="7">
        <f t="shared" si="34"/>
        <v>0.21690698808300435</v>
      </c>
      <c r="G66" s="3"/>
      <c r="H66" s="8">
        <v>6900</v>
      </c>
      <c r="I66" s="3"/>
      <c r="J66" s="7">
        <f t="shared" si="35"/>
        <v>0.25669862502543733</v>
      </c>
      <c r="K66" s="3"/>
      <c r="L66" s="8">
        <f t="shared" si="36"/>
        <v>0</v>
      </c>
      <c r="M66" s="3"/>
      <c r="N66" s="7">
        <f t="shared" si="37"/>
        <v>0</v>
      </c>
      <c r="O66" s="12"/>
      <c r="P66" s="8">
        <v>6900</v>
      </c>
      <c r="Q66" s="3"/>
      <c r="R66" s="7">
        <f t="shared" si="38"/>
        <v>0.21690698808300435</v>
      </c>
      <c r="S66" s="3"/>
      <c r="T66" s="8">
        <v>6900</v>
      </c>
      <c r="U66" s="3"/>
      <c r="V66" s="7">
        <f t="shared" si="39"/>
        <v>0.25669862502543733</v>
      </c>
      <c r="W66" s="3"/>
      <c r="X66" s="8">
        <f t="shared" si="40"/>
        <v>0</v>
      </c>
      <c r="Y66" s="3"/>
      <c r="Z66" s="7">
        <f t="shared" si="41"/>
        <v>0</v>
      </c>
    </row>
    <row r="67" spans="1:26" s="29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SUM(OSRRefD22_9x_0)</f>
        <v>155.59</v>
      </c>
      <c r="E67" s="1"/>
      <c r="F67" s="5">
        <f t="shared" si="34"/>
        <v>4.891095402294876E-3</v>
      </c>
      <c r="G67" s="1"/>
      <c r="H67" s="1">
        <f>SUM(OSRRefH22_9x_0)</f>
        <v>-333.44</v>
      </c>
      <c r="I67" s="1"/>
      <c r="J67" s="5">
        <f t="shared" si="35"/>
        <v>-1.2404868047606061E-2</v>
      </c>
      <c r="K67" s="1"/>
      <c r="L67" s="1">
        <f t="shared" si="36"/>
        <v>489.03</v>
      </c>
      <c r="M67" s="1"/>
      <c r="N67" s="5">
        <f t="shared" si="37"/>
        <v>-1.4666206813819578</v>
      </c>
      <c r="O67" s="14"/>
      <c r="P67" s="1">
        <f>SUM(OSRRefP22_9x_0)</f>
        <v>155.59</v>
      </c>
      <c r="Q67" s="1"/>
      <c r="R67" s="5">
        <f t="shared" si="38"/>
        <v>4.891095402294876E-3</v>
      </c>
      <c r="S67" s="1"/>
      <c r="T67" s="1">
        <f>SUM(OSRRefT22_9x_0)</f>
        <v>-333.44</v>
      </c>
      <c r="U67" s="1"/>
      <c r="V67" s="5">
        <f t="shared" si="39"/>
        <v>-1.2404868047606061E-2</v>
      </c>
      <c r="W67" s="1"/>
      <c r="X67" s="1">
        <f t="shared" si="40"/>
        <v>489.03</v>
      </c>
      <c r="Y67" s="1"/>
      <c r="Z67" s="5">
        <f t="shared" si="41"/>
        <v>-1.4666206813819578</v>
      </c>
    </row>
    <row r="68" spans="1:26" s="24" customFormat="1" hidden="1" outlineLevel="2" x14ac:dyDescent="0.3">
      <c r="A68" s="27"/>
      <c r="B68" s="12" t="str">
        <f>CONCATENATE("          ", "6284", " - ", "TRASH REMOVAL EXPENSE")</f>
        <v xml:space="preserve">          6284 - TRASH REMOVAL EXPENSE</v>
      </c>
      <c r="C68" s="12"/>
      <c r="D68" s="8">
        <v>142.57</v>
      </c>
      <c r="E68" s="3"/>
      <c r="F68" s="7">
        <f t="shared" si="34"/>
        <v>4.4818013465208594E-3</v>
      </c>
      <c r="G68" s="3"/>
      <c r="H68" s="8">
        <v>142.57</v>
      </c>
      <c r="I68" s="3"/>
      <c r="J68" s="7">
        <f t="shared" si="35"/>
        <v>5.303988836213999E-3</v>
      </c>
      <c r="K68" s="3"/>
      <c r="L68" s="8">
        <f t="shared" si="36"/>
        <v>0</v>
      </c>
      <c r="M68" s="3"/>
      <c r="N68" s="7">
        <f t="shared" si="37"/>
        <v>0</v>
      </c>
      <c r="O68" s="12"/>
      <c r="P68" s="8">
        <v>142.57</v>
      </c>
      <c r="Q68" s="3"/>
      <c r="R68" s="7">
        <f t="shared" si="38"/>
        <v>4.4818013465208594E-3</v>
      </c>
      <c r="S68" s="3"/>
      <c r="T68" s="8">
        <v>142.57</v>
      </c>
      <c r="U68" s="3"/>
      <c r="V68" s="7">
        <f t="shared" si="39"/>
        <v>5.303988836213999E-3</v>
      </c>
      <c r="W68" s="3"/>
      <c r="X68" s="8">
        <f t="shared" si="40"/>
        <v>0</v>
      </c>
      <c r="Y68" s="3"/>
      <c r="Z68" s="7">
        <f t="shared" si="41"/>
        <v>0</v>
      </c>
    </row>
    <row r="69" spans="1:26" s="24" customFormat="1" hidden="1" outlineLevel="2" x14ac:dyDescent="0.3">
      <c r="A69" s="27"/>
      <c r="B69" s="12" t="str">
        <f>CONCATENATE("          ", "6285", " - ", "JANITORIAL SERVICES")</f>
        <v xml:space="preserve">          6285 - JANITORIAL SERVICES</v>
      </c>
      <c r="C69" s="12"/>
      <c r="D69" s="8">
        <v>13.02</v>
      </c>
      <c r="E69" s="3"/>
      <c r="F69" s="7">
        <f t="shared" si="34"/>
        <v>4.0929405577401685E-4</v>
      </c>
      <c r="G69" s="3"/>
      <c r="H69" s="8">
        <v>-476.01</v>
      </c>
      <c r="I69" s="3"/>
      <c r="J69" s="7">
        <f t="shared" si="35"/>
        <v>-1.7708856883820061E-2</v>
      </c>
      <c r="K69" s="3"/>
      <c r="L69" s="8">
        <f t="shared" si="36"/>
        <v>489.03</v>
      </c>
      <c r="M69" s="3"/>
      <c r="N69" s="7">
        <f t="shared" si="37"/>
        <v>-1.0273523665469213</v>
      </c>
      <c r="O69" s="12"/>
      <c r="P69" s="8">
        <v>13.02</v>
      </c>
      <c r="Q69" s="3"/>
      <c r="R69" s="7">
        <f t="shared" si="38"/>
        <v>4.0929405577401685E-4</v>
      </c>
      <c r="S69" s="3"/>
      <c r="T69" s="8">
        <v>-476.01</v>
      </c>
      <c r="U69" s="3"/>
      <c r="V69" s="7">
        <f t="shared" si="39"/>
        <v>-1.7708856883820061E-2</v>
      </c>
      <c r="W69" s="3"/>
      <c r="X69" s="8">
        <f t="shared" si="40"/>
        <v>489.03</v>
      </c>
      <c r="Y69" s="3"/>
      <c r="Z69" s="7">
        <f t="shared" si="41"/>
        <v>-1.0273523665469213</v>
      </c>
    </row>
    <row r="70" spans="1:26" s="29" customFormat="1" outlineLevel="1" collapsed="1" x14ac:dyDescent="0.3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SUM(OSRRefD22_10x_0)</f>
        <v>0</v>
      </c>
      <c r="E70" s="1"/>
      <c r="F70" s="5">
        <f t="shared" ref="F70:F75" si="42">IF(D$12=0,0,D70/D$12)</f>
        <v>0</v>
      </c>
      <c r="G70" s="1"/>
      <c r="H70" s="1">
        <f>SUM(OSRRefH22_10x_0)</f>
        <v>75</v>
      </c>
      <c r="I70" s="1"/>
      <c r="J70" s="5">
        <f t="shared" ref="J70:J75" si="43">IF(H$12=0,0,H70/H$12)</f>
        <v>2.7902024459286663E-3</v>
      </c>
      <c r="K70" s="1"/>
      <c r="L70" s="1">
        <f t="shared" ref="L70:L75" si="44">+D70-H70</f>
        <v>-75</v>
      </c>
      <c r="M70" s="1"/>
      <c r="N70" s="5">
        <f t="shared" ref="N70:N75" si="45">IF(H70=0,0,L70/H70)</f>
        <v>-1</v>
      </c>
      <c r="O70" s="14"/>
      <c r="P70" s="1">
        <f>SUM(OSRRefP22_10x_0)</f>
        <v>0</v>
      </c>
      <c r="Q70" s="1"/>
      <c r="R70" s="5">
        <f t="shared" ref="R70:R75" si="46">IF(P$12=0,0,P70/P$12)</f>
        <v>0</v>
      </c>
      <c r="S70" s="1"/>
      <c r="T70" s="1">
        <f>SUM(OSRRefT22_10x_0)</f>
        <v>75</v>
      </c>
      <c r="U70" s="1"/>
      <c r="V70" s="5">
        <f t="shared" ref="V70:V75" si="47">IF(T$12=0,0,T70/T$12)</f>
        <v>2.7902024459286663E-3</v>
      </c>
      <c r="W70" s="1"/>
      <c r="X70" s="1">
        <f t="shared" ref="X70:X75" si="48">+P70-T70</f>
        <v>-75</v>
      </c>
      <c r="Y70" s="1"/>
      <c r="Z70" s="5">
        <f t="shared" ref="Z70:Z75" si="49">IF(T70=0,0,X70/T70)</f>
        <v>-1</v>
      </c>
    </row>
    <row r="71" spans="1:26" s="24" customFormat="1" hidden="1" outlineLevel="2" x14ac:dyDescent="0.3">
      <c r="A71" s="27"/>
      <c r="B71" s="12" t="str">
        <f>CONCATENATE("          ", "6275", " - ", "SUBSCRIPTIONS")</f>
        <v xml:space="preserve">          6275 - SUBSCRIPTIONS</v>
      </c>
      <c r="C71" s="12"/>
      <c r="D71" s="8"/>
      <c r="E71" s="3"/>
      <c r="F71" s="7">
        <f t="shared" si="42"/>
        <v>0</v>
      </c>
      <c r="G71" s="3"/>
      <c r="H71" s="8">
        <v>75</v>
      </c>
      <c r="I71" s="3"/>
      <c r="J71" s="7">
        <f t="shared" si="43"/>
        <v>2.7902024459286663E-3</v>
      </c>
      <c r="K71" s="3"/>
      <c r="L71" s="8">
        <f t="shared" si="44"/>
        <v>-75</v>
      </c>
      <c r="M71" s="3"/>
      <c r="N71" s="7">
        <f t="shared" si="45"/>
        <v>-1</v>
      </c>
      <c r="O71" s="12"/>
      <c r="P71" s="8"/>
      <c r="Q71" s="3"/>
      <c r="R71" s="7">
        <f t="shared" si="46"/>
        <v>0</v>
      </c>
      <c r="S71" s="3"/>
      <c r="T71" s="8">
        <v>75</v>
      </c>
      <c r="U71" s="3"/>
      <c r="V71" s="7">
        <f t="shared" si="47"/>
        <v>2.7902024459286663E-3</v>
      </c>
      <c r="W71" s="3"/>
      <c r="X71" s="8">
        <f t="shared" si="48"/>
        <v>-75</v>
      </c>
      <c r="Y71" s="3"/>
      <c r="Z71" s="7">
        <f t="shared" si="49"/>
        <v>-1</v>
      </c>
    </row>
    <row r="72" spans="1:26" s="29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SUM(OSRRefD22_11x_0)</f>
        <v>421.90999999999997</v>
      </c>
      <c r="E72" s="1"/>
      <c r="F72" s="5">
        <f t="shared" si="42"/>
        <v>1.3263076426391355E-2</v>
      </c>
      <c r="G72" s="1"/>
      <c r="H72" s="1">
        <f>SUM(OSRRefH22_11x_0)</f>
        <v>139.31</v>
      </c>
      <c r="I72" s="1"/>
      <c r="J72" s="5">
        <f t="shared" si="43"/>
        <v>5.1827080365643005E-3</v>
      </c>
      <c r="K72" s="1"/>
      <c r="L72" s="1">
        <f t="shared" si="44"/>
        <v>282.59999999999997</v>
      </c>
      <c r="M72" s="1"/>
      <c r="N72" s="5">
        <f t="shared" si="45"/>
        <v>2.0285693776469742</v>
      </c>
      <c r="O72" s="14"/>
      <c r="P72" s="1">
        <f>SUM(OSRRefP22_11x_0)</f>
        <v>421.90999999999997</v>
      </c>
      <c r="Q72" s="1"/>
      <c r="R72" s="5">
        <f t="shared" si="46"/>
        <v>1.3263076426391355E-2</v>
      </c>
      <c r="S72" s="1"/>
      <c r="T72" s="1">
        <f>SUM(OSRRefT22_11x_0)</f>
        <v>139.31</v>
      </c>
      <c r="U72" s="1"/>
      <c r="V72" s="5">
        <f t="shared" si="47"/>
        <v>5.1827080365643005E-3</v>
      </c>
      <c r="W72" s="1"/>
      <c r="X72" s="1">
        <f t="shared" si="48"/>
        <v>282.59999999999997</v>
      </c>
      <c r="Y72" s="1"/>
      <c r="Z72" s="5">
        <f t="shared" si="49"/>
        <v>2.0285693776469742</v>
      </c>
    </row>
    <row r="73" spans="1:26" s="24" customFormat="1" hidden="1" outlineLevel="2" x14ac:dyDescent="0.3">
      <c r="A73" s="27"/>
      <c r="B73" s="12" t="str">
        <f>CONCATENATE("          ", "6237", " - ", "JANITORIAL SUPPLIES")</f>
        <v xml:space="preserve">          6237 - JANITORIAL SUPPLIES</v>
      </c>
      <c r="C73" s="12"/>
      <c r="D73" s="8"/>
      <c r="E73" s="3"/>
      <c r="F73" s="7">
        <f t="shared" si="42"/>
        <v>0</v>
      </c>
      <c r="G73" s="3"/>
      <c r="H73" s="8">
        <v>139.31</v>
      </c>
      <c r="I73" s="3"/>
      <c r="J73" s="7">
        <f t="shared" si="43"/>
        <v>5.1827080365643005E-3</v>
      </c>
      <c r="K73" s="3"/>
      <c r="L73" s="8">
        <f t="shared" si="44"/>
        <v>-139.31</v>
      </c>
      <c r="M73" s="3"/>
      <c r="N73" s="7">
        <f t="shared" si="45"/>
        <v>-1</v>
      </c>
      <c r="O73" s="12"/>
      <c r="P73" s="8"/>
      <c r="Q73" s="3"/>
      <c r="R73" s="7">
        <f t="shared" si="46"/>
        <v>0</v>
      </c>
      <c r="S73" s="3"/>
      <c r="T73" s="8">
        <v>139.31</v>
      </c>
      <c r="U73" s="3"/>
      <c r="V73" s="7">
        <f t="shared" si="47"/>
        <v>5.1827080365643005E-3</v>
      </c>
      <c r="W73" s="3"/>
      <c r="X73" s="8">
        <f t="shared" si="48"/>
        <v>-139.31</v>
      </c>
      <c r="Y73" s="3"/>
      <c r="Z73" s="7">
        <f t="shared" si="49"/>
        <v>-1</v>
      </c>
    </row>
    <row r="74" spans="1:26" s="24" customFormat="1" hidden="1" outlineLevel="2" x14ac:dyDescent="0.3">
      <c r="A74" s="27"/>
      <c r="B74" s="12" t="str">
        <f>CONCATENATE("          ", "6241", " - ", "OFFICE EXPENSE")</f>
        <v xml:space="preserve">          6241 - OFFICE EXPENSE</v>
      </c>
      <c r="C74" s="12"/>
      <c r="D74" s="8">
        <v>6.59</v>
      </c>
      <c r="E74" s="3"/>
      <c r="F74" s="7">
        <f t="shared" si="42"/>
        <v>2.0716189151695632E-4</v>
      </c>
      <c r="G74" s="3"/>
      <c r="H74" s="8"/>
      <c r="I74" s="3"/>
      <c r="J74" s="7">
        <f t="shared" si="43"/>
        <v>0</v>
      </c>
      <c r="K74" s="3"/>
      <c r="L74" s="8">
        <f t="shared" si="44"/>
        <v>6.59</v>
      </c>
      <c r="M74" s="3"/>
      <c r="N74" s="7">
        <f t="shared" si="45"/>
        <v>0</v>
      </c>
      <c r="O74" s="12"/>
      <c r="P74" s="8">
        <v>6.59</v>
      </c>
      <c r="Q74" s="3"/>
      <c r="R74" s="7">
        <f t="shared" si="46"/>
        <v>2.0716189151695632E-4</v>
      </c>
      <c r="S74" s="3"/>
      <c r="T74" s="8"/>
      <c r="U74" s="3"/>
      <c r="V74" s="7">
        <f t="shared" si="47"/>
        <v>0</v>
      </c>
      <c r="W74" s="3"/>
      <c r="X74" s="8">
        <f t="shared" si="48"/>
        <v>6.59</v>
      </c>
      <c r="Y74" s="3"/>
      <c r="Z74" s="7">
        <f t="shared" si="49"/>
        <v>0</v>
      </c>
    </row>
    <row r="75" spans="1:26" s="24" customFormat="1" hidden="1" outlineLevel="2" x14ac:dyDescent="0.3">
      <c r="A75" s="27"/>
      <c r="B75" s="12" t="str">
        <f>CONCATENATE("          ", "6247", " - ", "STORE SUPPLIES")</f>
        <v xml:space="preserve">          6247 - STORE SUPPLIES</v>
      </c>
      <c r="C75" s="12"/>
      <c r="D75" s="8">
        <v>415.32</v>
      </c>
      <c r="E75" s="3"/>
      <c r="F75" s="7">
        <f t="shared" si="42"/>
        <v>1.30559145348744E-2</v>
      </c>
      <c r="G75" s="3"/>
      <c r="H75" s="8"/>
      <c r="I75" s="3"/>
      <c r="J75" s="7">
        <f t="shared" si="43"/>
        <v>0</v>
      </c>
      <c r="K75" s="3"/>
      <c r="L75" s="8">
        <f t="shared" si="44"/>
        <v>415.32</v>
      </c>
      <c r="M75" s="3"/>
      <c r="N75" s="7">
        <f t="shared" si="45"/>
        <v>0</v>
      </c>
      <c r="O75" s="12"/>
      <c r="P75" s="8">
        <v>415.32</v>
      </c>
      <c r="Q75" s="3"/>
      <c r="R75" s="7">
        <f t="shared" si="46"/>
        <v>1.30559145348744E-2</v>
      </c>
      <c r="S75" s="3"/>
      <c r="T75" s="8"/>
      <c r="U75" s="3"/>
      <c r="V75" s="7">
        <f t="shared" si="47"/>
        <v>0</v>
      </c>
      <c r="W75" s="3"/>
      <c r="X75" s="8">
        <f t="shared" si="48"/>
        <v>415.32</v>
      </c>
      <c r="Y75" s="3"/>
      <c r="Z75" s="7">
        <f t="shared" si="49"/>
        <v>0</v>
      </c>
    </row>
    <row r="76" spans="1:26" s="29" customFormat="1" outlineLevel="1" collapsed="1" x14ac:dyDescent="0.3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392.84</v>
      </c>
      <c r="E76" s="1"/>
      <c r="F76" s="5">
        <f t="shared" ref="F76:F81" si="50">IF(D$12=0,0,D76/D$12)</f>
        <v>1.2349237854859045E-2</v>
      </c>
      <c r="G76" s="1"/>
      <c r="H76" s="1">
        <f>SUM(OSRRefH22_12x_0)</f>
        <v>278.32</v>
      </c>
      <c r="I76" s="1"/>
      <c r="J76" s="5">
        <f t="shared" ref="J76:J81" si="51">IF(H$12=0,0,H76/H$12)</f>
        <v>1.0354255263344886E-2</v>
      </c>
      <c r="K76" s="1"/>
      <c r="L76" s="1">
        <f t="shared" ref="L76:L81" si="52">+D76-H76</f>
        <v>114.51999999999998</v>
      </c>
      <c r="M76" s="1"/>
      <c r="N76" s="5">
        <f t="shared" ref="N76:N81" si="53">IF(H76=0,0,L76/H76)</f>
        <v>0.4114688128772635</v>
      </c>
      <c r="O76" s="14"/>
      <c r="P76" s="1">
        <f>SUM(OSRRefP22_12x_0)</f>
        <v>392.84</v>
      </c>
      <c r="Q76" s="1"/>
      <c r="R76" s="5">
        <f t="shared" ref="R76:R81" si="54">IF(P$12=0,0,P76/P$12)</f>
        <v>1.2349237854859045E-2</v>
      </c>
      <c r="S76" s="1"/>
      <c r="T76" s="1">
        <f>SUM(OSRRefT22_12x_0)</f>
        <v>278.32</v>
      </c>
      <c r="U76" s="1"/>
      <c r="V76" s="5">
        <f t="shared" ref="V76:V81" si="55">IF(T$12=0,0,T76/T$12)</f>
        <v>1.0354255263344886E-2</v>
      </c>
      <c r="W76" s="1"/>
      <c r="X76" s="1">
        <f t="shared" ref="X76:X81" si="56">+P76-T76</f>
        <v>114.51999999999998</v>
      </c>
      <c r="Y76" s="1"/>
      <c r="Z76" s="5">
        <f t="shared" ref="Z76:Z81" si="57">IF(T76=0,0,X76/T76)</f>
        <v>0.4114688128772635</v>
      </c>
    </row>
    <row r="77" spans="1:26" s="24" customFormat="1" hidden="1" outlineLevel="2" x14ac:dyDescent="0.3">
      <c r="A77" s="27"/>
      <c r="B77" s="12" t="str">
        <f>CONCATENATE("          ", "6309", " - ", "TELEPHONE")</f>
        <v xml:space="preserve">          6309 - TELEPHONE</v>
      </c>
      <c r="C77" s="12"/>
      <c r="D77" s="8">
        <v>392.84</v>
      </c>
      <c r="E77" s="3"/>
      <c r="F77" s="7">
        <f t="shared" si="50"/>
        <v>1.2349237854859045E-2</v>
      </c>
      <c r="G77" s="3"/>
      <c r="H77" s="8">
        <v>278.32</v>
      </c>
      <c r="I77" s="3"/>
      <c r="J77" s="7">
        <f t="shared" si="51"/>
        <v>1.0354255263344886E-2</v>
      </c>
      <c r="K77" s="3"/>
      <c r="L77" s="8">
        <f t="shared" si="52"/>
        <v>114.51999999999998</v>
      </c>
      <c r="M77" s="3"/>
      <c r="N77" s="7">
        <f t="shared" si="53"/>
        <v>0.4114688128772635</v>
      </c>
      <c r="O77" s="12"/>
      <c r="P77" s="8">
        <v>392.84</v>
      </c>
      <c r="Q77" s="3"/>
      <c r="R77" s="7">
        <f t="shared" si="54"/>
        <v>1.2349237854859045E-2</v>
      </c>
      <c r="S77" s="3"/>
      <c r="T77" s="8">
        <v>278.32</v>
      </c>
      <c r="U77" s="3"/>
      <c r="V77" s="7">
        <f t="shared" si="55"/>
        <v>1.0354255263344886E-2</v>
      </c>
      <c r="W77" s="3"/>
      <c r="X77" s="8">
        <f t="shared" si="56"/>
        <v>114.51999999999998</v>
      </c>
      <c r="Y77" s="3"/>
      <c r="Z77" s="7">
        <f t="shared" si="57"/>
        <v>0.4114688128772635</v>
      </c>
    </row>
    <row r="78" spans="1:26" s="29" customFormat="1" outlineLevel="1" collapsed="1" x14ac:dyDescent="0.3">
      <c r="A78" s="28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SUM(OSRRefD22_13x_0)</f>
        <v>147.82</v>
      </c>
      <c r="E78" s="1"/>
      <c r="F78" s="5">
        <f t="shared" si="50"/>
        <v>4.6468392722361883E-3</v>
      </c>
      <c r="G78" s="1"/>
      <c r="H78" s="1">
        <f>SUM(OSRRefH22_13x_0)</f>
        <v>215.16</v>
      </c>
      <c r="I78" s="1"/>
      <c r="J78" s="5">
        <f t="shared" si="51"/>
        <v>8.0045327768801574E-3</v>
      </c>
      <c r="K78" s="1"/>
      <c r="L78" s="1">
        <f t="shared" si="52"/>
        <v>-67.34</v>
      </c>
      <c r="M78" s="1"/>
      <c r="N78" s="5">
        <f t="shared" si="53"/>
        <v>-0.31297638966350627</v>
      </c>
      <c r="O78" s="14"/>
      <c r="P78" s="1">
        <f>SUM(OSRRefP22_13x_0)</f>
        <v>147.82</v>
      </c>
      <c r="Q78" s="1"/>
      <c r="R78" s="5">
        <f t="shared" si="54"/>
        <v>4.6468392722361883E-3</v>
      </c>
      <c r="S78" s="1"/>
      <c r="T78" s="1">
        <f>SUM(OSRRefT22_13x_0)</f>
        <v>215.16</v>
      </c>
      <c r="U78" s="1"/>
      <c r="V78" s="5">
        <f t="shared" si="55"/>
        <v>8.0045327768801574E-3</v>
      </c>
      <c r="W78" s="1"/>
      <c r="X78" s="1">
        <f t="shared" si="56"/>
        <v>-67.34</v>
      </c>
      <c r="Y78" s="1"/>
      <c r="Z78" s="5">
        <f t="shared" si="57"/>
        <v>-0.31297638966350627</v>
      </c>
    </row>
    <row r="79" spans="1:26" s="24" customFormat="1" hidden="1" outlineLevel="2" x14ac:dyDescent="0.3">
      <c r="A79" s="27"/>
      <c r="B79" s="12" t="str">
        <f>CONCATENATE("          ", "6294", " - ", "TRAVEL OPERATIONAL")</f>
        <v xml:space="preserve">          6294 - TRAVEL OPERATIONAL</v>
      </c>
      <c r="C79" s="12"/>
      <c r="D79" s="8">
        <v>147.82</v>
      </c>
      <c r="E79" s="3"/>
      <c r="F79" s="7">
        <f t="shared" si="50"/>
        <v>4.6468392722361883E-3</v>
      </c>
      <c r="G79" s="3"/>
      <c r="H79" s="8">
        <v>215.16</v>
      </c>
      <c r="I79" s="3"/>
      <c r="J79" s="7">
        <f t="shared" si="51"/>
        <v>8.0045327768801574E-3</v>
      </c>
      <c r="K79" s="3"/>
      <c r="L79" s="8">
        <f t="shared" si="52"/>
        <v>-67.34</v>
      </c>
      <c r="M79" s="3"/>
      <c r="N79" s="7">
        <f t="shared" si="53"/>
        <v>-0.31297638966350627</v>
      </c>
      <c r="O79" s="12"/>
      <c r="P79" s="8">
        <v>147.82</v>
      </c>
      <c r="Q79" s="3"/>
      <c r="R79" s="7">
        <f t="shared" si="54"/>
        <v>4.6468392722361883E-3</v>
      </c>
      <c r="S79" s="3"/>
      <c r="T79" s="8">
        <v>215.16</v>
      </c>
      <c r="U79" s="3"/>
      <c r="V79" s="7">
        <f t="shared" si="55"/>
        <v>8.0045327768801574E-3</v>
      </c>
      <c r="W79" s="3"/>
      <c r="X79" s="8">
        <f t="shared" si="56"/>
        <v>-67.34</v>
      </c>
      <c r="Y79" s="3"/>
      <c r="Z79" s="7">
        <f t="shared" si="57"/>
        <v>-0.31297638966350627</v>
      </c>
    </row>
    <row r="80" spans="1:26" s="29" customFormat="1" outlineLevel="1" collapsed="1" x14ac:dyDescent="0.3">
      <c r="A80" s="28"/>
      <c r="B80" s="14" t="str">
        <f>CONCATENATE("     ","Utilities                                         ")</f>
        <v xml:space="preserve">     Utilities                                         </v>
      </c>
      <c r="C80" s="14"/>
      <c r="D80" s="1">
        <f>SUM(OSRRefD22_14x_0)</f>
        <v>36.49</v>
      </c>
      <c r="E80" s="1"/>
      <c r="F80" s="5">
        <f t="shared" si="50"/>
        <v>1.1470921732099752E-3</v>
      </c>
      <c r="G80" s="1"/>
      <c r="H80" s="1">
        <f>SUM(OSRRefH22_14x_0)</f>
        <v>28.46</v>
      </c>
      <c r="I80" s="1"/>
      <c r="J80" s="5">
        <f t="shared" si="51"/>
        <v>1.0587888214817313E-3</v>
      </c>
      <c r="K80" s="1"/>
      <c r="L80" s="1">
        <f t="shared" si="52"/>
        <v>8.0300000000000011</v>
      </c>
      <c r="M80" s="1"/>
      <c r="N80" s="5">
        <f t="shared" si="53"/>
        <v>0.28215038650737884</v>
      </c>
      <c r="O80" s="14"/>
      <c r="P80" s="1">
        <f>SUM(OSRRefP22_14x_0)</f>
        <v>36.49</v>
      </c>
      <c r="Q80" s="1"/>
      <c r="R80" s="5">
        <f t="shared" si="54"/>
        <v>1.1470921732099752E-3</v>
      </c>
      <c r="S80" s="1"/>
      <c r="T80" s="1">
        <f>SUM(OSRRefT22_14x_0)</f>
        <v>28.46</v>
      </c>
      <c r="U80" s="1"/>
      <c r="V80" s="5">
        <f t="shared" si="55"/>
        <v>1.0587888214817313E-3</v>
      </c>
      <c r="W80" s="1"/>
      <c r="X80" s="1">
        <f t="shared" si="56"/>
        <v>8.0300000000000011</v>
      </c>
      <c r="Y80" s="1"/>
      <c r="Z80" s="5">
        <f t="shared" si="57"/>
        <v>0.28215038650737884</v>
      </c>
    </row>
    <row r="81" spans="1:26" s="24" customFormat="1" hidden="1" outlineLevel="2" x14ac:dyDescent="0.3">
      <c r="A81" s="27"/>
      <c r="B81" s="12" t="str">
        <f>CONCATENATE("          ", "6274", " - ", "UTILITIES")</f>
        <v xml:space="preserve">          6274 - UTILITIES</v>
      </c>
      <c r="C81" s="12"/>
      <c r="D81" s="8">
        <v>36.49</v>
      </c>
      <c r="E81" s="3"/>
      <c r="F81" s="7">
        <f t="shared" si="50"/>
        <v>1.1470921732099752E-3</v>
      </c>
      <c r="G81" s="3"/>
      <c r="H81" s="8">
        <v>28.46</v>
      </c>
      <c r="I81" s="3"/>
      <c r="J81" s="7">
        <f t="shared" si="51"/>
        <v>1.0587888214817313E-3</v>
      </c>
      <c r="K81" s="3"/>
      <c r="L81" s="8">
        <f t="shared" si="52"/>
        <v>8.0300000000000011</v>
      </c>
      <c r="M81" s="3"/>
      <c r="N81" s="7">
        <f t="shared" si="53"/>
        <v>0.28215038650737884</v>
      </c>
      <c r="O81" s="12"/>
      <c r="P81" s="8">
        <v>36.49</v>
      </c>
      <c r="Q81" s="3"/>
      <c r="R81" s="7">
        <f t="shared" si="54"/>
        <v>1.1470921732099752E-3</v>
      </c>
      <c r="S81" s="3"/>
      <c r="T81" s="8">
        <v>28.46</v>
      </c>
      <c r="U81" s="3"/>
      <c r="V81" s="7">
        <f t="shared" si="55"/>
        <v>1.0587888214817313E-3</v>
      </c>
      <c r="W81" s="3"/>
      <c r="X81" s="8">
        <f t="shared" si="56"/>
        <v>8.0300000000000011</v>
      </c>
      <c r="Y81" s="3"/>
      <c r="Z81" s="7">
        <f t="shared" si="57"/>
        <v>0.28215038650737884</v>
      </c>
    </row>
    <row r="82" spans="1:26" s="53" customFormat="1" x14ac:dyDescent="0.3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3">
      <c r="A83" s="10"/>
      <c r="B83" s="25" t="s">
        <v>292</v>
      </c>
      <c r="C83" s="10"/>
      <c r="D83" s="4">
        <f>SUM(0)</f>
        <v>0</v>
      </c>
      <c r="E83" s="4"/>
      <c r="F83" s="11">
        <f>IF(D$12=0,0,D83/D$12)</f>
        <v>0</v>
      </c>
      <c r="G83" s="4"/>
      <c r="H83" s="4">
        <f>SUM(0)</f>
        <v>0</v>
      </c>
      <c r="I83" s="4"/>
      <c r="J83" s="11">
        <f>IF(H$12=0,0,H83/H$12)</f>
        <v>0</v>
      </c>
      <c r="K83" s="4"/>
      <c r="L83" s="4">
        <f>+D83-H83</f>
        <v>0</v>
      </c>
      <c r="M83" s="4"/>
      <c r="N83" s="11">
        <f>IF(H83=0,0,L83/H83)</f>
        <v>0</v>
      </c>
      <c r="O83" s="10"/>
      <c r="P83" s="4">
        <f>SUM(0)</f>
        <v>0</v>
      </c>
      <c r="Q83" s="4"/>
      <c r="R83" s="11">
        <f>IF(P$12=0,0,P83/P$12)</f>
        <v>0</v>
      </c>
      <c r="S83" s="4"/>
      <c r="T83" s="4">
        <f>SUM(0)</f>
        <v>0</v>
      </c>
      <c r="U83" s="4"/>
      <c r="V83" s="11">
        <f>IF(T$12=0,0,T83/T$12)</f>
        <v>0</v>
      </c>
      <c r="W83" s="4"/>
      <c r="X83" s="4">
        <f>+P83-T83</f>
        <v>0</v>
      </c>
      <c r="Y83" s="4"/>
      <c r="Z83" s="11">
        <f>IF(T83=0,0,X83/T83)</f>
        <v>0</v>
      </c>
    </row>
    <row r="84" spans="1:26" x14ac:dyDescent="0.3">
      <c r="A84" s="9"/>
      <c r="B84" s="10"/>
      <c r="C84" s="10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10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23" customFormat="1" x14ac:dyDescent="0.3">
      <c r="A85" s="10"/>
      <c r="B85" s="26" t="s">
        <v>276</v>
      </c>
      <c r="C85" s="26"/>
      <c r="D85" s="20">
        <f>+D35-D37+D83</f>
        <v>-1073.2400000000034</v>
      </c>
      <c r="E85" s="13"/>
      <c r="F85" s="21">
        <f>IF(D$12=0,0,D85/D$12)</f>
        <v>-3.3738153027565845E-2</v>
      </c>
      <c r="G85" s="13"/>
      <c r="H85" s="20">
        <f>+H35-H37+H83</f>
        <v>-6561.6299999999974</v>
      </c>
      <c r="I85" s="13"/>
      <c r="J85" s="21">
        <f>IF(H$12=0,0,H85/H$12)</f>
        <v>-0.24411034767038545</v>
      </c>
      <c r="K85" s="16"/>
      <c r="L85" s="20">
        <f>+D85-H85</f>
        <v>5488.389999999994</v>
      </c>
      <c r="M85" s="16"/>
      <c r="N85" s="21">
        <f>IF(H85=0,0,L85/H85)</f>
        <v>-0.83643698288382551</v>
      </c>
      <c r="O85" s="25"/>
      <c r="P85" s="20">
        <f>+P35-P37+P83</f>
        <v>-1073.2400000000034</v>
      </c>
      <c r="Q85" s="13"/>
      <c r="R85" s="21">
        <f>IF(P$12=0,0,P85/P$12)</f>
        <v>-3.3738153027565845E-2</v>
      </c>
      <c r="S85" s="13"/>
      <c r="T85" s="20">
        <f>+T35-T37+T83</f>
        <v>-6561.6299999999974</v>
      </c>
      <c r="U85" s="13"/>
      <c r="V85" s="21">
        <f>IF(T$12=0,0,T85/T$12)</f>
        <v>-0.24411034767038545</v>
      </c>
      <c r="W85" s="16"/>
      <c r="X85" s="20">
        <f>+P85-T85</f>
        <v>5488.389999999994</v>
      </c>
      <c r="Y85" s="16"/>
      <c r="Z85" s="21">
        <f>IF(T85=0,0,X85/T85)</f>
        <v>-0.83643698288382551</v>
      </c>
    </row>
    <row r="86" spans="1:26" x14ac:dyDescent="0.3">
      <c r="A86" s="9"/>
      <c r="B86" s="10"/>
      <c r="C86" s="9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23" customFormat="1" x14ac:dyDescent="0.3">
      <c r="A87" s="51"/>
      <c r="B87" s="10" t="s">
        <v>127</v>
      </c>
      <c r="C87" s="10"/>
      <c r="D87" s="4">
        <v>14696.49</v>
      </c>
      <c r="E87" s="4"/>
      <c r="F87" s="11">
        <f>IF(D$12=0,0,D87/D$12)</f>
        <v>0.46199585236115831</v>
      </c>
      <c r="G87" s="4"/>
      <c r="H87" s="4">
        <v>13096.23</v>
      </c>
      <c r="I87" s="4"/>
      <c r="J87" s="11">
        <f>IF(H$12=0,0,H87/H$12)</f>
        <v>0.48721510637925836</v>
      </c>
      <c r="K87" s="4"/>
      <c r="L87" s="4">
        <f>+D87-H87</f>
        <v>1600.2600000000002</v>
      </c>
      <c r="M87" s="4"/>
      <c r="N87" s="11">
        <f>IF(H87=0,0,L87/H87)</f>
        <v>0.12219241720708938</v>
      </c>
      <c r="O87" s="10"/>
      <c r="P87" s="4">
        <v>14696.49</v>
      </c>
      <c r="Q87" s="4"/>
      <c r="R87" s="11">
        <f>IF(P$12=0,0,P87/P$12)</f>
        <v>0.46199585236115831</v>
      </c>
      <c r="S87" s="4"/>
      <c r="T87" s="4">
        <v>13096.23</v>
      </c>
      <c r="U87" s="4"/>
      <c r="V87" s="11">
        <f>IF(T$12=0,0,T87/T$12)</f>
        <v>0.48721510637925836</v>
      </c>
      <c r="W87" s="4"/>
      <c r="X87" s="4">
        <f>+P87-T87</f>
        <v>1600.2600000000002</v>
      </c>
      <c r="Y87" s="4"/>
      <c r="Z87" s="11">
        <f>IF(T87=0,0,X87/T87)</f>
        <v>0.12219241720708938</v>
      </c>
    </row>
    <row r="88" spans="1:26" x14ac:dyDescent="0.3">
      <c r="A88" s="9"/>
      <c r="B88" s="10"/>
      <c r="C88" s="10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10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23" customFormat="1" ht="15" thickBot="1" x14ac:dyDescent="0.35">
      <c r="A89" s="10"/>
      <c r="B89" s="26" t="s">
        <v>125</v>
      </c>
      <c r="C89" s="26"/>
      <c r="D89" s="36">
        <f>+D85-D87</f>
        <v>-15769.730000000003</v>
      </c>
      <c r="E89" s="13"/>
      <c r="F89" s="34">
        <f>IF(D$12=0,0,D89/D$12)</f>
        <v>-0.49573400538872414</v>
      </c>
      <c r="G89" s="13"/>
      <c r="H89" s="36">
        <f>+H85-H87</f>
        <v>-19657.859999999997</v>
      </c>
      <c r="I89" s="13"/>
      <c r="J89" s="34">
        <f>IF(H$12=0,0,H89/H$12)</f>
        <v>-0.73132545404964378</v>
      </c>
      <c r="K89" s="16"/>
      <c r="L89" s="36">
        <f>D89-H89</f>
        <v>3888.1299999999937</v>
      </c>
      <c r="M89" s="16"/>
      <c r="N89" s="34">
        <f>IF(H89=0,0,L89/H89)</f>
        <v>-0.19779009515786533</v>
      </c>
      <c r="O89" s="25"/>
      <c r="P89" s="36">
        <f>+P85-P87</f>
        <v>-15769.730000000003</v>
      </c>
      <c r="Q89" s="13"/>
      <c r="R89" s="34">
        <f>IF(P$12=0,0,P89/P$12)</f>
        <v>-0.49573400538872414</v>
      </c>
      <c r="S89" s="13"/>
      <c r="T89" s="36">
        <f>+T85-T87</f>
        <v>-19657.859999999997</v>
      </c>
      <c r="U89" s="13"/>
      <c r="V89" s="34">
        <f>IF(T$12=0,0,T89/T$12)</f>
        <v>-0.73132545404964378</v>
      </c>
      <c r="W89" s="16"/>
      <c r="X89" s="36">
        <f>P89-T89</f>
        <v>3888.1299999999937</v>
      </c>
      <c r="Y89" s="16"/>
      <c r="Z89" s="34">
        <f>IF(T89=0,0,X89/T89)</f>
        <v>-0.19779009515786533</v>
      </c>
    </row>
    <row r="90" spans="1:26" ht="15" thickTop="1" x14ac:dyDescent="0.3">
      <c r="A90" s="9"/>
      <c r="B90" s="9"/>
      <c r="C90" s="9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ht="15" thickBot="1" x14ac:dyDescent="0.35">
      <c r="A92" s="10"/>
      <c r="B92" s="26" t="s">
        <v>293</v>
      </c>
      <c r="C92" s="26"/>
      <c r="D92" s="31">
        <f>SUM(D89:D91)</f>
        <v>-15769.730000000003</v>
      </c>
      <c r="E92" s="13"/>
      <c r="F92" s="33">
        <f>IF(D$12=0,0,D92/D$12)</f>
        <v>-0.49573400538872414</v>
      </c>
      <c r="G92" s="13"/>
      <c r="H92" s="31">
        <f>SUM(H89:H91)</f>
        <v>-19657.859999999997</v>
      </c>
      <c r="I92" s="13"/>
      <c r="J92" s="33">
        <f>IF(H$12=0,0,H92/H$12)</f>
        <v>-0.73132545404964378</v>
      </c>
      <c r="K92" s="16"/>
      <c r="L92" s="31">
        <f>+D92-H92</f>
        <v>3888.1299999999937</v>
      </c>
      <c r="M92" s="16"/>
      <c r="N92" s="33">
        <f>IF(H92=0,0,L92/H92)</f>
        <v>-0.19779009515786533</v>
      </c>
      <c r="O92" s="25"/>
      <c r="P92" s="31">
        <f>SUM(P89:P91)</f>
        <v>-15769.730000000003</v>
      </c>
      <c r="Q92" s="13"/>
      <c r="R92" s="33">
        <f>IF(P$12=0,0,P92/P$12)</f>
        <v>-0.49573400538872414</v>
      </c>
      <c r="S92" s="13"/>
      <c r="T92" s="31">
        <f>SUM(T89:T91)</f>
        <v>-19657.859999999997</v>
      </c>
      <c r="U92" s="13"/>
      <c r="V92" s="33">
        <f>IF(T$12=0,0,T92/T$12)</f>
        <v>-0.73132545404964378</v>
      </c>
      <c r="W92" s="16"/>
      <c r="X92" s="31">
        <f>+P92-T92</f>
        <v>3888.1299999999937</v>
      </c>
      <c r="Y92" s="16"/>
      <c r="Z92" s="33">
        <f>IF(T92=0,0,X92/T92)</f>
        <v>-0.19779009515786533</v>
      </c>
    </row>
    <row r="93" spans="1:26" ht="15" thickTop="1" x14ac:dyDescent="0.3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3">
      <c r="A94" s="9"/>
      <c r="B94" s="59">
        <v>44462.666945868055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7" t="s">
        <v>56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61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3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124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2531.7999999999997</v>
      </c>
      <c r="E12" s="4"/>
      <c r="F12" s="11"/>
      <c r="G12" s="4"/>
      <c r="H12" s="4">
        <f>SUM(OSRRefH13x_0)</f>
        <v>4847.87</v>
      </c>
      <c r="I12" s="4"/>
      <c r="J12" s="11"/>
      <c r="K12" s="4"/>
      <c r="L12" s="4">
        <f t="shared" ref="L12:L19" si="0">+D12-H12</f>
        <v>-2316.0700000000002</v>
      </c>
      <c r="M12" s="4"/>
      <c r="N12" s="11">
        <f t="shared" ref="N12:N19" si="1">IF(H12=0,0,L12/H12)</f>
        <v>-0.47775002217468709</v>
      </c>
      <c r="O12" s="10"/>
      <c r="P12" s="4">
        <f>SUM(OSRRefP13x_0)</f>
        <v>2531.7999999999997</v>
      </c>
      <c r="Q12" s="4"/>
      <c r="R12" s="11"/>
      <c r="S12" s="4"/>
      <c r="T12" s="4">
        <f>SUM(OSRRefT13x_0)</f>
        <v>4847.87</v>
      </c>
      <c r="U12" s="4"/>
      <c r="V12" s="11"/>
      <c r="W12" s="4"/>
      <c r="X12" s="4">
        <f t="shared" ref="X12:X19" si="2">+P12-T12</f>
        <v>-2316.0700000000002</v>
      </c>
      <c r="Y12" s="4"/>
      <c r="Z12" s="11">
        <f t="shared" ref="Z12:Z19" si="3">IF(T12=0,0,X12/T12)</f>
        <v>-0.47775002217468709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--2230.15</f>
        <v>2230.15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2230.15</v>
      </c>
      <c r="M13" s="3"/>
      <c r="N13" s="22">
        <f t="shared" si="1"/>
        <v>0</v>
      </c>
      <c r="O13" s="12"/>
      <c r="P13" s="3">
        <f>--2230.15</f>
        <v>2230.15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2230.15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"4041", " - ", "TAXABLE SALES-LOGO GIFTS")</f>
        <v xml:space="preserve">          4041 - TAXABLE SALES-LOGO GIFTS</v>
      </c>
      <c r="C14" s="12"/>
      <c r="D14" s="3">
        <f t="shared" ref="D14:D15" si="4">0</f>
        <v>0</v>
      </c>
      <c r="E14" s="3"/>
      <c r="F14" s="22"/>
      <c r="G14" s="3"/>
      <c r="H14" s="3">
        <f>--1085.6</f>
        <v>1085.5999999999999</v>
      </c>
      <c r="I14" s="3"/>
      <c r="J14" s="22"/>
      <c r="K14" s="3"/>
      <c r="L14" s="3">
        <f t="shared" si="0"/>
        <v>-1085.5999999999999</v>
      </c>
      <c r="M14" s="3"/>
      <c r="N14" s="22">
        <f t="shared" si="1"/>
        <v>-1</v>
      </c>
      <c r="O14" s="12"/>
      <c r="P14" s="3">
        <f t="shared" ref="P14:P15" si="5">0</f>
        <v>0</v>
      </c>
      <c r="Q14" s="3"/>
      <c r="R14" s="22"/>
      <c r="S14" s="3"/>
      <c r="T14" s="3">
        <f>--1085.6</f>
        <v>1085.5999999999999</v>
      </c>
      <c r="U14" s="3"/>
      <c r="V14" s="22"/>
      <c r="W14" s="3"/>
      <c r="X14" s="3">
        <f t="shared" si="2"/>
        <v>-1085.5999999999999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"4042", " - ", "TAXABLE SALES-EVERYDAY GIFTS")</f>
        <v xml:space="preserve">          4042 - TAXABLE SALES-EVERYDAY GIFTS</v>
      </c>
      <c r="C15" s="12"/>
      <c r="D15" s="3">
        <f t="shared" si="4"/>
        <v>0</v>
      </c>
      <c r="E15" s="3"/>
      <c r="F15" s="22"/>
      <c r="G15" s="3"/>
      <c r="H15" s="3">
        <f>--3750.52</f>
        <v>3750.52</v>
      </c>
      <c r="I15" s="3"/>
      <c r="J15" s="22"/>
      <c r="K15" s="3"/>
      <c r="L15" s="3">
        <f t="shared" si="0"/>
        <v>-3750.52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--3750.52</f>
        <v>3750.52</v>
      </c>
      <c r="U15" s="3"/>
      <c r="V15" s="22"/>
      <c r="W15" s="3"/>
      <c r="X15" s="3">
        <f t="shared" si="2"/>
        <v>-3750.52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"4100", " - ", "NON-TAXABLE SALES")</f>
        <v xml:space="preserve">          4100 - NON-TAXABLE SALES</v>
      </c>
      <c r="C16" s="12"/>
      <c r="D16" s="3">
        <f>--281.45</f>
        <v>281.45</v>
      </c>
      <c r="E16" s="3"/>
      <c r="F16" s="22"/>
      <c r="G16" s="3"/>
      <c r="H16" s="3">
        <f>0</f>
        <v>0</v>
      </c>
      <c r="I16" s="3"/>
      <c r="J16" s="22"/>
      <c r="K16" s="3"/>
      <c r="L16" s="3">
        <f t="shared" si="0"/>
        <v>281.45</v>
      </c>
      <c r="M16" s="3"/>
      <c r="N16" s="22">
        <f t="shared" si="1"/>
        <v>0</v>
      </c>
      <c r="O16" s="12"/>
      <c r="P16" s="3">
        <f>--281.45</f>
        <v>281.45</v>
      </c>
      <c r="Q16" s="3"/>
      <c r="R16" s="22"/>
      <c r="S16" s="3"/>
      <c r="T16" s="3">
        <f>0</f>
        <v>0</v>
      </c>
      <c r="U16" s="3"/>
      <c r="V16" s="22"/>
      <c r="W16" s="3"/>
      <c r="X16" s="3">
        <f t="shared" si="2"/>
        <v>281.45</v>
      </c>
      <c r="Y16" s="3"/>
      <c r="Z16" s="22">
        <f t="shared" si="3"/>
        <v>0</v>
      </c>
    </row>
    <row r="17" spans="1:26" s="24" customFormat="1" hidden="1" outlineLevel="1" x14ac:dyDescent="0.3">
      <c r="A17" s="50"/>
      <c r="B17" s="12" t="str">
        <f>CONCATENATE("          ", "4141", " - ", "NON-TAXABLE SALES-LOGO GIFTS")</f>
        <v xml:space="preserve">          4141 - NON-TAXABLE SALES-LOGO GIFTS</v>
      </c>
      <c r="C17" s="12"/>
      <c r="D17" s="3">
        <f>0</f>
        <v>0</v>
      </c>
      <c r="E17" s="3"/>
      <c r="F17" s="22"/>
      <c r="G17" s="3"/>
      <c r="H17" s="3">
        <f>--10.75</f>
        <v>10.75</v>
      </c>
      <c r="I17" s="3"/>
      <c r="J17" s="22"/>
      <c r="K17" s="3"/>
      <c r="L17" s="3">
        <f t="shared" si="0"/>
        <v>-10.75</v>
      </c>
      <c r="M17" s="3"/>
      <c r="N17" s="22">
        <f t="shared" si="1"/>
        <v>-1</v>
      </c>
      <c r="O17" s="12"/>
      <c r="P17" s="3">
        <f>0</f>
        <v>0</v>
      </c>
      <c r="Q17" s="3"/>
      <c r="R17" s="22"/>
      <c r="S17" s="3"/>
      <c r="T17" s="3">
        <f>--10.75</f>
        <v>10.75</v>
      </c>
      <c r="U17" s="3"/>
      <c r="V17" s="22"/>
      <c r="W17" s="3"/>
      <c r="X17" s="3">
        <f t="shared" si="2"/>
        <v>-10.75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"4146", " - ", "NON-TAXABLE SALES-COIN OP MACH")</f>
        <v xml:space="preserve">          4146 - NON-TAXABLE SALES-COIN OP MACH</v>
      </c>
      <c r="C18" s="12"/>
      <c r="D18" s="3">
        <f>--20.2</f>
        <v>20.2</v>
      </c>
      <c r="E18" s="3"/>
      <c r="F18" s="22"/>
      <c r="G18" s="3"/>
      <c r="H18" s="3">
        <f>0</f>
        <v>0</v>
      </c>
      <c r="I18" s="3"/>
      <c r="J18" s="22"/>
      <c r="K18" s="3"/>
      <c r="L18" s="3">
        <f t="shared" si="0"/>
        <v>20.2</v>
      </c>
      <c r="M18" s="3"/>
      <c r="N18" s="22">
        <f t="shared" si="1"/>
        <v>0</v>
      </c>
      <c r="O18" s="12"/>
      <c r="P18" s="3">
        <f>--20.2</f>
        <v>20.2</v>
      </c>
      <c r="Q18" s="3"/>
      <c r="R18" s="22"/>
      <c r="S18" s="3"/>
      <c r="T18" s="3">
        <f>0</f>
        <v>0</v>
      </c>
      <c r="U18" s="3"/>
      <c r="V18" s="22"/>
      <c r="W18" s="3"/>
      <c r="X18" s="3">
        <f t="shared" si="2"/>
        <v>20.2</v>
      </c>
      <c r="Y18" s="3"/>
      <c r="Z18" s="22">
        <f t="shared" si="3"/>
        <v>0</v>
      </c>
    </row>
    <row r="19" spans="1:26" s="24" customFormat="1" hidden="1" outlineLevel="1" x14ac:dyDescent="0.3">
      <c r="A19" s="50"/>
      <c r="B19" s="12" t="str">
        <f>CONCATENATE("          ", "4147", " - ", "NON-TAXABLE SALES-MISC")</f>
        <v xml:space="preserve">          4147 - NON-TAXABLE SALES-MISC</v>
      </c>
      <c r="C19" s="12"/>
      <c r="D19" s="3">
        <f>0</f>
        <v>0</v>
      </c>
      <c r="E19" s="3"/>
      <c r="F19" s="22"/>
      <c r="G19" s="3"/>
      <c r="H19" s="3">
        <f>--1</f>
        <v>1</v>
      </c>
      <c r="I19" s="3"/>
      <c r="J19" s="22"/>
      <c r="K19" s="3"/>
      <c r="L19" s="3">
        <f t="shared" si="0"/>
        <v>-1</v>
      </c>
      <c r="M19" s="3"/>
      <c r="N19" s="22">
        <f t="shared" si="1"/>
        <v>-1</v>
      </c>
      <c r="O19" s="12"/>
      <c r="P19" s="3">
        <f>0</f>
        <v>0</v>
      </c>
      <c r="Q19" s="3"/>
      <c r="R19" s="22"/>
      <c r="S19" s="3"/>
      <c r="T19" s="3">
        <f>--1</f>
        <v>1</v>
      </c>
      <c r="U19" s="3"/>
      <c r="V19" s="22"/>
      <c r="W19" s="3"/>
      <c r="X19" s="3">
        <f t="shared" si="2"/>
        <v>-1</v>
      </c>
      <c r="Y19" s="3"/>
      <c r="Z19" s="22">
        <f t="shared" si="3"/>
        <v>-1</v>
      </c>
    </row>
    <row r="20" spans="1:26" x14ac:dyDescent="0.3">
      <c r="A20" s="9"/>
      <c r="B20" s="10"/>
      <c r="C20" s="9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collapsed="1" x14ac:dyDescent="0.3">
      <c r="A21" s="10"/>
      <c r="B21" s="25" t="s">
        <v>256</v>
      </c>
      <c r="C21" s="10"/>
      <c r="D21" s="4">
        <f>SUM(OSRRefD16x_0)</f>
        <v>0</v>
      </c>
      <c r="E21" s="4"/>
      <c r="F21" s="11">
        <f t="shared" ref="F21:F23" si="6">IF(D$12=0,0,D21/D$12)</f>
        <v>0</v>
      </c>
      <c r="G21" s="4"/>
      <c r="H21" s="4">
        <f>SUM(OSRRefH16x_0)</f>
        <v>0</v>
      </c>
      <c r="I21" s="4"/>
      <c r="J21" s="11">
        <f t="shared" ref="J21:J23" si="7">IF(H$12=0,0,H21/H$12)</f>
        <v>0</v>
      </c>
      <c r="K21" s="4"/>
      <c r="L21" s="4">
        <f t="shared" ref="L21:L23" si="8">+D21-H21</f>
        <v>0</v>
      </c>
      <c r="M21" s="4"/>
      <c r="N21" s="11">
        <f t="shared" ref="N21:N23" si="9">IF(H21=0,0,L21/H21)</f>
        <v>0</v>
      </c>
      <c r="O21" s="10"/>
      <c r="P21" s="4">
        <f>SUM(OSRRefP16x_0)</f>
        <v>0</v>
      </c>
      <c r="Q21" s="4"/>
      <c r="R21" s="11">
        <f t="shared" ref="R21:R23" si="10">IF(P$12=0,0,P21/P$12)</f>
        <v>0</v>
      </c>
      <c r="S21" s="4"/>
      <c r="T21" s="4">
        <f>SUM(OSRRefT16x_0)</f>
        <v>0</v>
      </c>
      <c r="U21" s="4"/>
      <c r="V21" s="11">
        <f t="shared" ref="V21:V23" si="11">IF(T$12=0,0,T21/T$12)</f>
        <v>0</v>
      </c>
      <c r="W21" s="4"/>
      <c r="X21" s="4">
        <f t="shared" ref="X21:X23" si="12">+P21-T21</f>
        <v>0</v>
      </c>
      <c r="Y21" s="4"/>
      <c r="Z21" s="11">
        <f t="shared" ref="Z21:Z23" si="13">IF(T21=0,0,X21/T21)</f>
        <v>0</v>
      </c>
    </row>
    <row r="22" spans="1:26" s="24" customFormat="1" hidden="1" outlineLevel="1" x14ac:dyDescent="0.3">
      <c r="A22" s="50"/>
      <c r="B22" s="12" t="str">
        <f>CONCATENATE("          ", "5092", " - ", "PURCHASES @ COST-GRAD MERCH")</f>
        <v xml:space="preserve">          5092 - PURCHASES @ COST-GRAD MERCH</v>
      </c>
      <c r="C22" s="12"/>
      <c r="D22" s="3"/>
      <c r="E22" s="3"/>
      <c r="F22" s="22">
        <f t="shared" si="6"/>
        <v>0</v>
      </c>
      <c r="G22" s="3"/>
      <c r="H22" s="3">
        <v>0</v>
      </c>
      <c r="I22" s="3"/>
      <c r="J22" s="22">
        <f t="shared" si="7"/>
        <v>0</v>
      </c>
      <c r="K22" s="3"/>
      <c r="L22" s="3">
        <f t="shared" si="8"/>
        <v>0</v>
      </c>
      <c r="M22" s="3"/>
      <c r="N22" s="22">
        <f t="shared" si="9"/>
        <v>0</v>
      </c>
      <c r="O22" s="12"/>
      <c r="P22" s="3"/>
      <c r="Q22" s="3"/>
      <c r="R22" s="22">
        <f t="shared" si="10"/>
        <v>0</v>
      </c>
      <c r="S22" s="3"/>
      <c r="T22" s="3">
        <v>0</v>
      </c>
      <c r="U22" s="3"/>
      <c r="V22" s="22">
        <f t="shared" si="11"/>
        <v>0</v>
      </c>
      <c r="W22" s="3"/>
      <c r="X22" s="3">
        <f t="shared" si="12"/>
        <v>0</v>
      </c>
      <c r="Y22" s="3"/>
      <c r="Z22" s="22">
        <f t="shared" si="13"/>
        <v>0</v>
      </c>
    </row>
    <row r="23" spans="1:26" s="24" customFormat="1" hidden="1" outlineLevel="1" x14ac:dyDescent="0.3">
      <c r="A23" s="50"/>
      <c r="B23" s="12" t="str">
        <f>CONCATENATE("          ", "5592", " - ", "FREIGHT-IN-GRAD MERCH")</f>
        <v xml:space="preserve">          5592 - FREIGHT-IN-GRAD MERCH</v>
      </c>
      <c r="C23" s="12"/>
      <c r="D23" s="3"/>
      <c r="E23" s="3"/>
      <c r="F23" s="22">
        <f t="shared" si="6"/>
        <v>0</v>
      </c>
      <c r="G23" s="3"/>
      <c r="H23" s="3">
        <v>0</v>
      </c>
      <c r="I23" s="3"/>
      <c r="J23" s="22">
        <f t="shared" si="7"/>
        <v>0</v>
      </c>
      <c r="K23" s="3"/>
      <c r="L23" s="3">
        <f t="shared" si="8"/>
        <v>0</v>
      </c>
      <c r="M23" s="3"/>
      <c r="N23" s="22">
        <f t="shared" si="9"/>
        <v>0</v>
      </c>
      <c r="O23" s="12"/>
      <c r="P23" s="3"/>
      <c r="Q23" s="3"/>
      <c r="R23" s="22">
        <f t="shared" si="10"/>
        <v>0</v>
      </c>
      <c r="S23" s="3"/>
      <c r="T23" s="3">
        <v>0</v>
      </c>
      <c r="U23" s="3"/>
      <c r="V23" s="22">
        <f t="shared" si="11"/>
        <v>0</v>
      </c>
      <c r="W23" s="3"/>
      <c r="X23" s="3">
        <f t="shared" si="12"/>
        <v>0</v>
      </c>
      <c r="Y23" s="3"/>
      <c r="Z23" s="22">
        <f t="shared" si="13"/>
        <v>0</v>
      </c>
    </row>
    <row r="24" spans="1:26" x14ac:dyDescent="0.3">
      <c r="A24" s="9"/>
      <c r="B24" s="10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10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3" customFormat="1" x14ac:dyDescent="0.3">
      <c r="A25" s="10"/>
      <c r="B25" s="26" t="s">
        <v>107</v>
      </c>
      <c r="C25" s="26"/>
      <c r="D25" s="20">
        <f>D12-D21</f>
        <v>2531.7999999999997</v>
      </c>
      <c r="E25" s="13"/>
      <c r="F25" s="21">
        <f>IF(D$12=0,0,D25/D$12)</f>
        <v>1</v>
      </c>
      <c r="G25" s="13"/>
      <c r="H25" s="20">
        <f>H12-H21</f>
        <v>4847.87</v>
      </c>
      <c r="I25" s="13"/>
      <c r="J25" s="21">
        <f>IF(H$12=0,0,H25/H$12)</f>
        <v>1</v>
      </c>
      <c r="K25" s="16"/>
      <c r="L25" s="20">
        <f>+D25-H25</f>
        <v>-2316.0700000000002</v>
      </c>
      <c r="M25" s="16"/>
      <c r="N25" s="21">
        <f>IF(H25=0,0,L25/H25)</f>
        <v>-0.47775002217468709</v>
      </c>
      <c r="O25" s="25"/>
      <c r="P25" s="20">
        <f>P12-P21</f>
        <v>2531.7999999999997</v>
      </c>
      <c r="Q25" s="13"/>
      <c r="R25" s="21">
        <f>IF(P$12=0,0,P25/P$12)</f>
        <v>1</v>
      </c>
      <c r="S25" s="13"/>
      <c r="T25" s="20">
        <f>T12-T21</f>
        <v>4847.87</v>
      </c>
      <c r="U25" s="13"/>
      <c r="V25" s="21">
        <f>IF(T$12=0,0,T25/T$12)</f>
        <v>1</v>
      </c>
      <c r="W25" s="16"/>
      <c r="X25" s="20">
        <f>+P25-T25</f>
        <v>-2316.0700000000002</v>
      </c>
      <c r="Y25" s="16"/>
      <c r="Z25" s="21">
        <f>IF(T25=0,0,X25/T25)</f>
        <v>-0.47775002217468709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294</v>
      </c>
      <c r="C27" s="10"/>
      <c r="D27" s="19">
        <f>SUM(OSRRefD22x_0)</f>
        <v>37658.879999999997</v>
      </c>
      <c r="E27" s="19"/>
      <c r="F27" s="35">
        <f t="shared" ref="F27:F36" si="14">IF(D$12=0,0,D27/D$12)</f>
        <v>14.874350264633858</v>
      </c>
      <c r="G27" s="19"/>
      <c r="H27" s="19">
        <f>SUM(OSRRefH22x_0)</f>
        <v>49153.950000000004</v>
      </c>
      <c r="I27" s="19"/>
      <c r="J27" s="35">
        <f t="shared" ref="J27:J36" si="15">IF(H$12=0,0,H27/H$12)</f>
        <v>10.139287975956453</v>
      </c>
      <c r="K27" s="4"/>
      <c r="L27" s="19">
        <f t="shared" ref="L27:L36" si="16">+D27-H27</f>
        <v>-11495.070000000007</v>
      </c>
      <c r="M27" s="4"/>
      <c r="N27" s="35">
        <f t="shared" ref="N27:N36" si="17">IF(H27=0,0,L27/H27)</f>
        <v>-0.23385852001721136</v>
      </c>
      <c r="O27" s="10"/>
      <c r="P27" s="19">
        <f>SUM(OSRRefP22x_0)</f>
        <v>37658.879999999997</v>
      </c>
      <c r="Q27" s="19"/>
      <c r="R27" s="35">
        <f t="shared" ref="R27:R36" si="18">IF(P$12=0,0,P27/P$12)</f>
        <v>14.874350264633858</v>
      </c>
      <c r="S27" s="19"/>
      <c r="T27" s="19">
        <f>SUM(OSRRefT22x_0)</f>
        <v>49153.950000000004</v>
      </c>
      <c r="U27" s="19"/>
      <c r="V27" s="35">
        <f t="shared" ref="V27:V36" si="19">IF(T$12=0,0,T27/T$12)</f>
        <v>10.139287975956453</v>
      </c>
      <c r="W27" s="4"/>
      <c r="X27" s="19">
        <f t="shared" ref="X27:X36" si="20">+P27-T27</f>
        <v>-11495.070000000007</v>
      </c>
      <c r="Y27" s="4"/>
      <c r="Z27" s="35">
        <f t="shared" ref="Z27:Z36" si="21">IF(T27=0,0,X27/T27)</f>
        <v>-0.23385852001721136</v>
      </c>
    </row>
    <row r="28" spans="1:26" s="29" customFormat="1" outlineLevel="1" collapsed="1" x14ac:dyDescent="0.3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8921.32</v>
      </c>
      <c r="E28" s="1"/>
      <c r="F28" s="5">
        <f t="shared" si="14"/>
        <v>3.5237064539063119</v>
      </c>
      <c r="G28" s="1"/>
      <c r="H28" s="1">
        <f>SUM(OSRRefH22_0x_0)</f>
        <v>7930.28</v>
      </c>
      <c r="I28" s="1"/>
      <c r="J28" s="5">
        <f t="shared" si="15"/>
        <v>1.6358276933993692</v>
      </c>
      <c r="K28" s="1"/>
      <c r="L28" s="1">
        <f t="shared" si="16"/>
        <v>991.04</v>
      </c>
      <c r="M28" s="1"/>
      <c r="N28" s="5">
        <f t="shared" si="17"/>
        <v>0.12496910575666938</v>
      </c>
      <c r="O28" s="14"/>
      <c r="P28" s="1">
        <f>SUM(OSRRefP22_0x_0)</f>
        <v>8921.32</v>
      </c>
      <c r="Q28" s="1"/>
      <c r="R28" s="5">
        <f t="shared" si="18"/>
        <v>3.5237064539063119</v>
      </c>
      <c r="S28" s="1"/>
      <c r="T28" s="1">
        <f>SUM(OSRRefT22_0x_0)</f>
        <v>7930.28</v>
      </c>
      <c r="U28" s="1"/>
      <c r="V28" s="5">
        <f t="shared" si="19"/>
        <v>1.6358276933993692</v>
      </c>
      <c r="W28" s="1"/>
      <c r="X28" s="1">
        <f t="shared" si="20"/>
        <v>991.04</v>
      </c>
      <c r="Y28" s="1"/>
      <c r="Z28" s="5">
        <f t="shared" si="21"/>
        <v>0.12496910575666938</v>
      </c>
    </row>
    <row r="29" spans="1:26" s="24" customFormat="1" hidden="1" outlineLevel="2" x14ac:dyDescent="0.3">
      <c r="A29" s="27"/>
      <c r="B29" s="12" t="str">
        <f>CONCATENATE("          ", "6111", " - ", "F.I.C.A.")</f>
        <v xml:space="preserve">          6111 - F.I.C.A.</v>
      </c>
      <c r="C29" s="12"/>
      <c r="D29" s="8">
        <v>1247.51</v>
      </c>
      <c r="E29" s="3"/>
      <c r="F29" s="7">
        <f t="shared" si="14"/>
        <v>0.49273639308002215</v>
      </c>
      <c r="G29" s="3"/>
      <c r="H29" s="8">
        <v>1043.3599999999999</v>
      </c>
      <c r="I29" s="3"/>
      <c r="J29" s="7">
        <f t="shared" si="15"/>
        <v>0.21522029262335829</v>
      </c>
      <c r="K29" s="3"/>
      <c r="L29" s="8">
        <f t="shared" si="16"/>
        <v>204.15000000000009</v>
      </c>
      <c r="M29" s="3"/>
      <c r="N29" s="7">
        <f t="shared" si="17"/>
        <v>0.19566592547155354</v>
      </c>
      <c r="O29" s="12"/>
      <c r="P29" s="8">
        <v>1247.51</v>
      </c>
      <c r="Q29" s="3"/>
      <c r="R29" s="7">
        <f t="shared" si="18"/>
        <v>0.49273639308002215</v>
      </c>
      <c r="S29" s="3"/>
      <c r="T29" s="8">
        <v>1043.3599999999999</v>
      </c>
      <c r="U29" s="3"/>
      <c r="V29" s="7">
        <f t="shared" si="19"/>
        <v>0.21522029262335829</v>
      </c>
      <c r="W29" s="3"/>
      <c r="X29" s="8">
        <f t="shared" si="20"/>
        <v>204.15000000000009</v>
      </c>
      <c r="Y29" s="3"/>
      <c r="Z29" s="7">
        <f t="shared" si="21"/>
        <v>0.19566592547155354</v>
      </c>
    </row>
    <row r="30" spans="1:26" s="24" customFormat="1" hidden="1" outlineLevel="2" x14ac:dyDescent="0.3">
      <c r="A30" s="27"/>
      <c r="B30" s="12" t="str">
        <f>CONCATENATE("          ", "6112", " - ", "COMPENSATION INSURANCE")</f>
        <v xml:space="preserve">          6112 - COMPENSATION INSURANCE</v>
      </c>
      <c r="C30" s="12"/>
      <c r="D30" s="8">
        <v>251.73</v>
      </c>
      <c r="E30" s="3"/>
      <c r="F30" s="7">
        <f t="shared" si="14"/>
        <v>9.9427284935618934E-2</v>
      </c>
      <c r="G30" s="3"/>
      <c r="H30" s="8">
        <v>293.61</v>
      </c>
      <c r="I30" s="3"/>
      <c r="J30" s="7">
        <f t="shared" si="15"/>
        <v>6.056474286645476E-2</v>
      </c>
      <c r="K30" s="3"/>
      <c r="L30" s="8">
        <f t="shared" si="16"/>
        <v>-41.880000000000024</v>
      </c>
      <c r="M30" s="3"/>
      <c r="N30" s="7">
        <f t="shared" si="17"/>
        <v>-0.14263819352201909</v>
      </c>
      <c r="O30" s="12"/>
      <c r="P30" s="8">
        <v>251.73</v>
      </c>
      <c r="Q30" s="3"/>
      <c r="R30" s="7">
        <f t="shared" si="18"/>
        <v>9.9427284935618934E-2</v>
      </c>
      <c r="S30" s="3"/>
      <c r="T30" s="8">
        <v>293.61</v>
      </c>
      <c r="U30" s="3"/>
      <c r="V30" s="7">
        <f t="shared" si="19"/>
        <v>6.056474286645476E-2</v>
      </c>
      <c r="W30" s="3"/>
      <c r="X30" s="8">
        <f t="shared" si="20"/>
        <v>-41.880000000000024</v>
      </c>
      <c r="Y30" s="3"/>
      <c r="Z30" s="7">
        <f t="shared" si="21"/>
        <v>-0.14263819352201909</v>
      </c>
    </row>
    <row r="31" spans="1:26" s="24" customFormat="1" hidden="1" outlineLevel="2" x14ac:dyDescent="0.3">
      <c r="A31" s="27"/>
      <c r="B31" s="12" t="str">
        <f>CONCATENATE("          ", "6113", " - ", "GROUP INSURANCE")</f>
        <v xml:space="preserve">          6113 - GROUP INSURANCE</v>
      </c>
      <c r="C31" s="12"/>
      <c r="D31" s="8">
        <v>3410.23</v>
      </c>
      <c r="E31" s="3"/>
      <c r="F31" s="7">
        <f t="shared" si="14"/>
        <v>1.3469586855201834</v>
      </c>
      <c r="G31" s="3"/>
      <c r="H31" s="8">
        <v>2724.48</v>
      </c>
      <c r="I31" s="3"/>
      <c r="J31" s="7">
        <f t="shared" si="15"/>
        <v>0.56199526802492639</v>
      </c>
      <c r="K31" s="3"/>
      <c r="L31" s="8">
        <f t="shared" si="16"/>
        <v>685.75</v>
      </c>
      <c r="M31" s="3"/>
      <c r="N31" s="7">
        <f t="shared" si="17"/>
        <v>0.2516994068592906</v>
      </c>
      <c r="O31" s="12"/>
      <c r="P31" s="8">
        <v>3410.23</v>
      </c>
      <c r="Q31" s="3"/>
      <c r="R31" s="7">
        <f t="shared" si="18"/>
        <v>1.3469586855201834</v>
      </c>
      <c r="S31" s="3"/>
      <c r="T31" s="8">
        <v>2724.48</v>
      </c>
      <c r="U31" s="3"/>
      <c r="V31" s="7">
        <f t="shared" si="19"/>
        <v>0.56199526802492639</v>
      </c>
      <c r="W31" s="3"/>
      <c r="X31" s="8">
        <f t="shared" si="20"/>
        <v>685.75</v>
      </c>
      <c r="Y31" s="3"/>
      <c r="Z31" s="7">
        <f t="shared" si="21"/>
        <v>0.2516994068592906</v>
      </c>
    </row>
    <row r="32" spans="1:26" s="24" customFormat="1" hidden="1" outlineLevel="2" x14ac:dyDescent="0.3">
      <c r="A32" s="27"/>
      <c r="B32" s="12" t="str">
        <f>CONCATENATE("          ", "6114", " - ", "STATE UNEMPLOYMENT INSURANCE")</f>
        <v xml:space="preserve">          6114 - STATE UNEMPLOYMENT INSURANCE</v>
      </c>
      <c r="C32" s="12"/>
      <c r="D32" s="8">
        <v>44.22</v>
      </c>
      <c r="E32" s="3"/>
      <c r="F32" s="7">
        <f t="shared" si="14"/>
        <v>1.7465834584090373E-2</v>
      </c>
      <c r="G32" s="3"/>
      <c r="H32" s="8">
        <v>41.26</v>
      </c>
      <c r="I32" s="3"/>
      <c r="J32" s="7">
        <f t="shared" si="15"/>
        <v>8.5109542953915839E-3</v>
      </c>
      <c r="K32" s="3"/>
      <c r="L32" s="8">
        <f t="shared" si="16"/>
        <v>2.9600000000000009</v>
      </c>
      <c r="M32" s="3"/>
      <c r="N32" s="7">
        <f t="shared" si="17"/>
        <v>7.1740184197770257E-2</v>
      </c>
      <c r="O32" s="12"/>
      <c r="P32" s="8">
        <v>44.22</v>
      </c>
      <c r="Q32" s="3"/>
      <c r="R32" s="7">
        <f t="shared" si="18"/>
        <v>1.7465834584090373E-2</v>
      </c>
      <c r="S32" s="3"/>
      <c r="T32" s="8">
        <v>41.26</v>
      </c>
      <c r="U32" s="3"/>
      <c r="V32" s="7">
        <f t="shared" si="19"/>
        <v>8.5109542953915839E-3</v>
      </c>
      <c r="W32" s="3"/>
      <c r="X32" s="8">
        <f t="shared" si="20"/>
        <v>2.9600000000000009</v>
      </c>
      <c r="Y32" s="3"/>
      <c r="Z32" s="7">
        <f t="shared" si="21"/>
        <v>7.1740184197770257E-2</v>
      </c>
    </row>
    <row r="33" spans="1:26" s="24" customFormat="1" hidden="1" outlineLevel="2" x14ac:dyDescent="0.3">
      <c r="A33" s="27"/>
      <c r="B33" s="12" t="str">
        <f>CONCATENATE("          ", "6115", " - ", "P.E.R.S.")</f>
        <v xml:space="preserve">          6115 - P.E.R.S.</v>
      </c>
      <c r="C33" s="12"/>
      <c r="D33" s="8">
        <v>1590.79</v>
      </c>
      <c r="E33" s="3"/>
      <c r="F33" s="7">
        <f t="shared" si="14"/>
        <v>0.62832372225294264</v>
      </c>
      <c r="G33" s="3"/>
      <c r="H33" s="8">
        <v>2066.46</v>
      </c>
      <c r="I33" s="3"/>
      <c r="J33" s="7">
        <f t="shared" si="15"/>
        <v>0.42626143027762708</v>
      </c>
      <c r="K33" s="3"/>
      <c r="L33" s="8">
        <f t="shared" si="16"/>
        <v>-475.67000000000007</v>
      </c>
      <c r="M33" s="3"/>
      <c r="N33" s="7">
        <f t="shared" si="17"/>
        <v>-0.23018592181798828</v>
      </c>
      <c r="O33" s="12"/>
      <c r="P33" s="8">
        <v>1590.79</v>
      </c>
      <c r="Q33" s="3"/>
      <c r="R33" s="7">
        <f t="shared" si="18"/>
        <v>0.62832372225294264</v>
      </c>
      <c r="S33" s="3"/>
      <c r="T33" s="8">
        <v>2066.46</v>
      </c>
      <c r="U33" s="3"/>
      <c r="V33" s="7">
        <f t="shared" si="19"/>
        <v>0.42626143027762708</v>
      </c>
      <c r="W33" s="3"/>
      <c r="X33" s="8">
        <f t="shared" si="20"/>
        <v>-475.67000000000007</v>
      </c>
      <c r="Y33" s="3"/>
      <c r="Z33" s="7">
        <f t="shared" si="21"/>
        <v>-0.23018592181798828</v>
      </c>
    </row>
    <row r="34" spans="1:26" s="24" customFormat="1" hidden="1" outlineLevel="2" x14ac:dyDescent="0.3">
      <c r="A34" s="27"/>
      <c r="B34" s="12" t="str">
        <f>CONCATENATE("          ", "6118", " - ", "VACATION")</f>
        <v xml:space="preserve">          6118 - VACATION</v>
      </c>
      <c r="C34" s="12"/>
      <c r="D34" s="8">
        <v>1216.0999999999999</v>
      </c>
      <c r="E34" s="3"/>
      <c r="F34" s="7">
        <f t="shared" si="14"/>
        <v>0.48033019985780867</v>
      </c>
      <c r="G34" s="3"/>
      <c r="H34" s="8">
        <v>978.88</v>
      </c>
      <c r="I34" s="3"/>
      <c r="J34" s="7">
        <f t="shared" si="15"/>
        <v>0.201919605930027</v>
      </c>
      <c r="K34" s="3"/>
      <c r="L34" s="8">
        <f t="shared" si="16"/>
        <v>237.21999999999991</v>
      </c>
      <c r="M34" s="3"/>
      <c r="N34" s="7">
        <f t="shared" si="17"/>
        <v>0.24233818241255303</v>
      </c>
      <c r="O34" s="12"/>
      <c r="P34" s="8">
        <v>1216.0999999999999</v>
      </c>
      <c r="Q34" s="3"/>
      <c r="R34" s="7">
        <f t="shared" si="18"/>
        <v>0.48033019985780867</v>
      </c>
      <c r="S34" s="3"/>
      <c r="T34" s="8">
        <v>978.88</v>
      </c>
      <c r="U34" s="3"/>
      <c r="V34" s="7">
        <f t="shared" si="19"/>
        <v>0.201919605930027</v>
      </c>
      <c r="W34" s="3"/>
      <c r="X34" s="8">
        <f t="shared" si="20"/>
        <v>237.21999999999991</v>
      </c>
      <c r="Y34" s="3"/>
      <c r="Z34" s="7">
        <f t="shared" si="21"/>
        <v>0.24233818241255303</v>
      </c>
    </row>
    <row r="35" spans="1:26" s="24" customFormat="1" hidden="1" outlineLevel="2" x14ac:dyDescent="0.3">
      <c r="A35" s="27"/>
      <c r="B35" s="12" t="str">
        <f>CONCATENATE("          ", "6119", " - ", "SICK LEAVE")</f>
        <v xml:space="preserve">          6119 - SICK LEAVE</v>
      </c>
      <c r="C35" s="12"/>
      <c r="D35" s="8">
        <v>738.5</v>
      </c>
      <c r="E35" s="3"/>
      <c r="F35" s="7">
        <f t="shared" si="14"/>
        <v>0.29168970692787743</v>
      </c>
      <c r="G35" s="3"/>
      <c r="H35" s="8">
        <v>632.52</v>
      </c>
      <c r="I35" s="3"/>
      <c r="J35" s="7">
        <f t="shared" si="15"/>
        <v>0.13047379570821824</v>
      </c>
      <c r="K35" s="3"/>
      <c r="L35" s="8">
        <f t="shared" si="16"/>
        <v>105.98000000000002</v>
      </c>
      <c r="M35" s="3"/>
      <c r="N35" s="7">
        <f t="shared" si="17"/>
        <v>0.16755201416556001</v>
      </c>
      <c r="O35" s="12"/>
      <c r="P35" s="8">
        <v>738.5</v>
      </c>
      <c r="Q35" s="3"/>
      <c r="R35" s="7">
        <f t="shared" si="18"/>
        <v>0.29168970692787743</v>
      </c>
      <c r="S35" s="3"/>
      <c r="T35" s="8">
        <v>632.52</v>
      </c>
      <c r="U35" s="3"/>
      <c r="V35" s="7">
        <f t="shared" si="19"/>
        <v>0.13047379570821824</v>
      </c>
      <c r="W35" s="3"/>
      <c r="X35" s="8">
        <f t="shared" si="20"/>
        <v>105.98000000000002</v>
      </c>
      <c r="Y35" s="3"/>
      <c r="Z35" s="7">
        <f t="shared" si="21"/>
        <v>0.16755201416556001</v>
      </c>
    </row>
    <row r="36" spans="1:26" s="24" customFormat="1" hidden="1" outlineLevel="2" x14ac:dyDescent="0.3">
      <c r="A36" s="27"/>
      <c r="B36" s="12" t="str">
        <f>CONCATENATE("          ", "6156", " - ", "EMPLOYEE MEALS")</f>
        <v xml:space="preserve">          6156 - EMPLOYEE MEALS</v>
      </c>
      <c r="C36" s="12"/>
      <c r="D36" s="8">
        <v>422.24</v>
      </c>
      <c r="E36" s="3"/>
      <c r="F36" s="7">
        <f t="shared" si="14"/>
        <v>0.16677462674776841</v>
      </c>
      <c r="G36" s="3"/>
      <c r="H36" s="8">
        <v>149.71</v>
      </c>
      <c r="I36" s="3"/>
      <c r="J36" s="7">
        <f t="shared" si="15"/>
        <v>3.0881603673365832E-2</v>
      </c>
      <c r="K36" s="3"/>
      <c r="L36" s="8">
        <f t="shared" si="16"/>
        <v>272.52999999999997</v>
      </c>
      <c r="M36" s="3"/>
      <c r="N36" s="7">
        <f t="shared" si="17"/>
        <v>1.8203860797541911</v>
      </c>
      <c r="O36" s="12"/>
      <c r="P36" s="8">
        <v>422.24</v>
      </c>
      <c r="Q36" s="3"/>
      <c r="R36" s="7">
        <f t="shared" si="18"/>
        <v>0.16677462674776841</v>
      </c>
      <c r="S36" s="3"/>
      <c r="T36" s="8">
        <v>149.71</v>
      </c>
      <c r="U36" s="3"/>
      <c r="V36" s="7">
        <f t="shared" si="19"/>
        <v>3.0881603673365832E-2</v>
      </c>
      <c r="W36" s="3"/>
      <c r="X36" s="8">
        <f t="shared" si="20"/>
        <v>272.52999999999997</v>
      </c>
      <c r="Y36" s="3"/>
      <c r="Z36" s="7">
        <f t="shared" si="21"/>
        <v>1.8203860797541911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19441.55</v>
      </c>
      <c r="E37" s="1"/>
      <c r="F37" s="5">
        <f t="shared" ref="F37:F39" si="22">IF(D$12=0,0,D37/D$12)</f>
        <v>7.678943834426101</v>
      </c>
      <c r="G37" s="1"/>
      <c r="H37" s="1">
        <f>SUM(OSRRefH22_1x_0)</f>
        <v>15059.94</v>
      </c>
      <c r="I37" s="1"/>
      <c r="J37" s="5">
        <f t="shared" ref="J37:J39" si="23">IF(H$12=0,0,H37/H$12)</f>
        <v>3.1065065688642641</v>
      </c>
      <c r="K37" s="1"/>
      <c r="L37" s="1">
        <f t="shared" ref="L37:L39" si="24">+D37-H37</f>
        <v>4381.6099999999988</v>
      </c>
      <c r="M37" s="1"/>
      <c r="N37" s="5">
        <f t="shared" ref="N37:N39" si="25">IF(H37=0,0,L37/H37)</f>
        <v>0.29094471823924922</v>
      </c>
      <c r="O37" s="14"/>
      <c r="P37" s="1">
        <f>SUM(OSRRefP22_1x_0)</f>
        <v>19441.55</v>
      </c>
      <c r="Q37" s="1"/>
      <c r="R37" s="5">
        <f t="shared" ref="R37:R39" si="26">IF(P$12=0,0,P37/P$12)</f>
        <v>7.678943834426101</v>
      </c>
      <c r="S37" s="1"/>
      <c r="T37" s="1">
        <f>SUM(OSRRefT22_1x_0)</f>
        <v>15059.94</v>
      </c>
      <c r="U37" s="1"/>
      <c r="V37" s="5">
        <f t="shared" ref="V37:V39" si="27">IF(T$12=0,0,T37/T$12)</f>
        <v>3.1065065688642641</v>
      </c>
      <c r="W37" s="1"/>
      <c r="X37" s="1">
        <f t="shared" ref="X37:X39" si="28">+P37-T37</f>
        <v>4381.6099999999988</v>
      </c>
      <c r="Y37" s="1"/>
      <c r="Z37" s="5">
        <f t="shared" ref="Z37:Z39" si="29">IF(T37=0,0,X37/T37)</f>
        <v>0.29094471823924922</v>
      </c>
    </row>
    <row r="38" spans="1:26" s="24" customFormat="1" hidden="1" outlineLevel="2" x14ac:dyDescent="0.3">
      <c r="A38" s="27"/>
      <c r="B38" s="12" t="str">
        <f>CONCATENATE("          ", "6002", " - ", "STAFF SALARIES")</f>
        <v xml:space="preserve">          6002 - STAFF SALARIES</v>
      </c>
      <c r="C38" s="12"/>
      <c r="D38" s="8">
        <v>18934.05</v>
      </c>
      <c r="E38" s="3"/>
      <c r="F38" s="7">
        <f t="shared" si="22"/>
        <v>7.4784935618927246</v>
      </c>
      <c r="G38" s="3"/>
      <c r="H38" s="8">
        <v>15059.94</v>
      </c>
      <c r="I38" s="3"/>
      <c r="J38" s="7">
        <f t="shared" si="23"/>
        <v>3.1065065688642641</v>
      </c>
      <c r="K38" s="3"/>
      <c r="L38" s="8">
        <f t="shared" si="24"/>
        <v>3874.1099999999988</v>
      </c>
      <c r="M38" s="3"/>
      <c r="N38" s="7">
        <f t="shared" si="25"/>
        <v>0.25724604480495927</v>
      </c>
      <c r="O38" s="12"/>
      <c r="P38" s="8">
        <v>18934.05</v>
      </c>
      <c r="Q38" s="3"/>
      <c r="R38" s="7">
        <f t="shared" si="26"/>
        <v>7.4784935618927246</v>
      </c>
      <c r="S38" s="3"/>
      <c r="T38" s="8">
        <v>15059.94</v>
      </c>
      <c r="U38" s="3"/>
      <c r="V38" s="7">
        <f t="shared" si="27"/>
        <v>3.1065065688642641</v>
      </c>
      <c r="W38" s="3"/>
      <c r="X38" s="8">
        <f t="shared" si="28"/>
        <v>3874.1099999999988</v>
      </c>
      <c r="Y38" s="3"/>
      <c r="Z38" s="7">
        <f t="shared" si="29"/>
        <v>0.25724604480495927</v>
      </c>
    </row>
    <row r="39" spans="1:26" s="24" customFormat="1" hidden="1" outlineLevel="2" x14ac:dyDescent="0.3">
      <c r="A39" s="27"/>
      <c r="B39" s="12" t="str">
        <f>CONCATENATE("          ", "6007", " - ", "STUDENT HOURLY")</f>
        <v xml:space="preserve">          6007 - STUDENT HOURLY</v>
      </c>
      <c r="C39" s="12"/>
      <c r="D39" s="8">
        <v>507.5</v>
      </c>
      <c r="E39" s="3"/>
      <c r="F39" s="7">
        <f t="shared" si="22"/>
        <v>0.2004502725333755</v>
      </c>
      <c r="G39" s="3"/>
      <c r="H39" s="8"/>
      <c r="I39" s="3"/>
      <c r="J39" s="7">
        <f t="shared" si="23"/>
        <v>0</v>
      </c>
      <c r="K39" s="3"/>
      <c r="L39" s="8">
        <f t="shared" si="24"/>
        <v>507.5</v>
      </c>
      <c r="M39" s="3"/>
      <c r="N39" s="7">
        <f t="shared" si="25"/>
        <v>0</v>
      </c>
      <c r="O39" s="12"/>
      <c r="P39" s="8">
        <v>507.5</v>
      </c>
      <c r="Q39" s="3"/>
      <c r="R39" s="7">
        <f t="shared" si="26"/>
        <v>0.2004502725333755</v>
      </c>
      <c r="S39" s="3"/>
      <c r="T39" s="8"/>
      <c r="U39" s="3"/>
      <c r="V39" s="7">
        <f t="shared" si="27"/>
        <v>0</v>
      </c>
      <c r="W39" s="3"/>
      <c r="X39" s="8">
        <f t="shared" si="28"/>
        <v>507.5</v>
      </c>
      <c r="Y39" s="3"/>
      <c r="Z39" s="7">
        <f t="shared" si="29"/>
        <v>0</v>
      </c>
    </row>
    <row r="40" spans="1:26" s="29" customFormat="1" outlineLevel="1" collapsed="1" x14ac:dyDescent="0.3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169.88</v>
      </c>
      <c r="E40" s="1"/>
      <c r="F40" s="5">
        <f t="shared" ref="F40:F46" si="30">IF(D$12=0,0,D40/D$12)</f>
        <v>6.7098506991073545E-2</v>
      </c>
      <c r="G40" s="1"/>
      <c r="H40" s="1">
        <f>SUM(OSRRefH22_2x_0)</f>
        <v>169.88</v>
      </c>
      <c r="I40" s="1"/>
      <c r="J40" s="5">
        <f t="shared" ref="J40:J46" si="31">IF(H$12=0,0,H40/H$12)</f>
        <v>3.5042193788199769E-2</v>
      </c>
      <c r="K40" s="1"/>
      <c r="L40" s="1">
        <f t="shared" ref="L40:L46" si="32">+D40-H40</f>
        <v>0</v>
      </c>
      <c r="M40" s="1"/>
      <c r="N40" s="5">
        <f t="shared" ref="N40:N46" si="33">IF(H40=0,0,L40/H40)</f>
        <v>0</v>
      </c>
      <c r="O40" s="14"/>
      <c r="P40" s="1">
        <f>SUM(OSRRefP22_2x_0)</f>
        <v>169.88</v>
      </c>
      <c r="Q40" s="1"/>
      <c r="R40" s="5">
        <f t="shared" ref="R40:R46" si="34">IF(P$12=0,0,P40/P$12)</f>
        <v>6.7098506991073545E-2</v>
      </c>
      <c r="S40" s="1"/>
      <c r="T40" s="1">
        <f>SUM(OSRRefT22_2x_0)</f>
        <v>169.88</v>
      </c>
      <c r="U40" s="1"/>
      <c r="V40" s="5">
        <f t="shared" ref="V40:V46" si="35">IF(T$12=0,0,T40/T$12)</f>
        <v>3.5042193788199769E-2</v>
      </c>
      <c r="W40" s="1"/>
      <c r="X40" s="1">
        <f t="shared" ref="X40:X46" si="36">+P40-T40</f>
        <v>0</v>
      </c>
      <c r="Y40" s="1"/>
      <c r="Z40" s="5">
        <f t="shared" ref="Z40:Z46" si="37">IF(T40=0,0,X40/T40)</f>
        <v>0</v>
      </c>
    </row>
    <row r="41" spans="1:26" s="24" customFormat="1" hidden="1" outlineLevel="2" x14ac:dyDescent="0.3">
      <c r="A41" s="27"/>
      <c r="B41" s="12" t="str">
        <f>CONCATENATE("          ", "6322", " - ", "EQUIPMENT DEPRECIATION EXPENSE")</f>
        <v xml:space="preserve">          6322 - EQUIPMENT DEPRECIATION EXPENSE</v>
      </c>
      <c r="C41" s="12"/>
      <c r="D41" s="8">
        <v>169.88</v>
      </c>
      <c r="E41" s="3"/>
      <c r="F41" s="7">
        <f t="shared" si="30"/>
        <v>6.7098506991073545E-2</v>
      </c>
      <c r="G41" s="3"/>
      <c r="H41" s="8">
        <v>169.88</v>
      </c>
      <c r="I41" s="3"/>
      <c r="J41" s="7">
        <f t="shared" si="31"/>
        <v>3.5042193788199769E-2</v>
      </c>
      <c r="K41" s="3"/>
      <c r="L41" s="8">
        <f t="shared" si="32"/>
        <v>0</v>
      </c>
      <c r="M41" s="3"/>
      <c r="N41" s="7">
        <f t="shared" si="33"/>
        <v>0</v>
      </c>
      <c r="O41" s="12"/>
      <c r="P41" s="8">
        <v>169.88</v>
      </c>
      <c r="Q41" s="3"/>
      <c r="R41" s="7">
        <f t="shared" si="34"/>
        <v>6.7098506991073545E-2</v>
      </c>
      <c r="S41" s="3"/>
      <c r="T41" s="8">
        <v>169.88</v>
      </c>
      <c r="U41" s="3"/>
      <c r="V41" s="7">
        <f t="shared" si="35"/>
        <v>3.5042193788199769E-2</v>
      </c>
      <c r="W41" s="3"/>
      <c r="X41" s="8">
        <f t="shared" si="36"/>
        <v>0</v>
      </c>
      <c r="Y41" s="3"/>
      <c r="Z41" s="7">
        <f t="shared" si="37"/>
        <v>0</v>
      </c>
    </row>
    <row r="42" spans="1:26" s="29" customFormat="1" outlineLevel="1" collapsed="1" x14ac:dyDescent="0.3">
      <c r="A42" s="28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1205.6400000000001</v>
      </c>
      <c r="E42" s="1"/>
      <c r="F42" s="5">
        <f t="shared" si="30"/>
        <v>0.47619875187613564</v>
      </c>
      <c r="G42" s="1"/>
      <c r="H42" s="1">
        <f>SUM(OSRRefH22_3x_0)</f>
        <v>1205.6400000000001</v>
      </c>
      <c r="I42" s="1"/>
      <c r="J42" s="5">
        <f t="shared" si="31"/>
        <v>0.24869478760775354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SUM(OSRRefP22_3x_0)</f>
        <v>1205.6400000000001</v>
      </c>
      <c r="Q42" s="1"/>
      <c r="R42" s="5">
        <f t="shared" si="34"/>
        <v>0.47619875187613564</v>
      </c>
      <c r="S42" s="1"/>
      <c r="T42" s="1">
        <f>SUM(OSRRefT22_3x_0)</f>
        <v>1205.6400000000001</v>
      </c>
      <c r="U42" s="1"/>
      <c r="V42" s="5">
        <f t="shared" si="35"/>
        <v>0.24869478760775354</v>
      </c>
      <c r="W42" s="1"/>
      <c r="X42" s="1">
        <f t="shared" si="36"/>
        <v>0</v>
      </c>
      <c r="Y42" s="1"/>
      <c r="Z42" s="5">
        <f t="shared" si="37"/>
        <v>0</v>
      </c>
    </row>
    <row r="43" spans="1:26" s="24" customFormat="1" hidden="1" outlineLevel="2" x14ac:dyDescent="0.3">
      <c r="A43" s="27"/>
      <c r="B43" s="12" t="str">
        <f>CONCATENATE("          ", "6351", " - ", "EQUIPMENT RENTAL")</f>
        <v xml:space="preserve">          6351 - EQUIPMENT RENTAL</v>
      </c>
      <c r="C43" s="12"/>
      <c r="D43" s="8">
        <v>1205.6400000000001</v>
      </c>
      <c r="E43" s="3"/>
      <c r="F43" s="7">
        <f t="shared" si="30"/>
        <v>0.47619875187613564</v>
      </c>
      <c r="G43" s="3"/>
      <c r="H43" s="8">
        <v>1205.6400000000001</v>
      </c>
      <c r="I43" s="3"/>
      <c r="J43" s="7">
        <f t="shared" si="31"/>
        <v>0.24869478760775354</v>
      </c>
      <c r="K43" s="3"/>
      <c r="L43" s="8">
        <f t="shared" si="32"/>
        <v>0</v>
      </c>
      <c r="M43" s="3"/>
      <c r="N43" s="7">
        <f t="shared" si="33"/>
        <v>0</v>
      </c>
      <c r="O43" s="12"/>
      <c r="P43" s="8">
        <v>1205.6400000000001</v>
      </c>
      <c r="Q43" s="3"/>
      <c r="R43" s="7">
        <f t="shared" si="34"/>
        <v>0.47619875187613564</v>
      </c>
      <c r="S43" s="3"/>
      <c r="T43" s="8">
        <v>1205.6400000000001</v>
      </c>
      <c r="U43" s="3"/>
      <c r="V43" s="7">
        <f t="shared" si="35"/>
        <v>0.24869478760775354</v>
      </c>
      <c r="W43" s="3"/>
      <c r="X43" s="8">
        <f t="shared" si="36"/>
        <v>0</v>
      </c>
      <c r="Y43" s="3"/>
      <c r="Z43" s="7">
        <f t="shared" si="37"/>
        <v>0</v>
      </c>
    </row>
    <row r="44" spans="1:26" s="29" customFormat="1" outlineLevel="1" collapsed="1" x14ac:dyDescent="0.3">
      <c r="A44" s="28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2283.8600000000006</v>
      </c>
      <c r="E44" s="1"/>
      <c r="F44" s="5">
        <f t="shared" si="30"/>
        <v>0.90206967374990155</v>
      </c>
      <c r="G44" s="1"/>
      <c r="H44" s="1">
        <f>SUM(OSRRefH22_4x_0)</f>
        <v>8744.76</v>
      </c>
      <c r="I44" s="1"/>
      <c r="J44" s="5">
        <f t="shared" si="31"/>
        <v>1.8038354988892029</v>
      </c>
      <c r="K44" s="1"/>
      <c r="L44" s="1">
        <f t="shared" si="32"/>
        <v>-6460.9</v>
      </c>
      <c r="M44" s="1"/>
      <c r="N44" s="5">
        <f t="shared" si="33"/>
        <v>-0.73883102566565573</v>
      </c>
      <c r="O44" s="14"/>
      <c r="P44" s="1">
        <f>SUM(OSRRefP22_4x_0)</f>
        <v>2283.8600000000006</v>
      </c>
      <c r="Q44" s="1"/>
      <c r="R44" s="5">
        <f t="shared" si="34"/>
        <v>0.90206967374990155</v>
      </c>
      <c r="S44" s="1"/>
      <c r="T44" s="1">
        <f>SUM(OSRRefT22_4x_0)</f>
        <v>8744.76</v>
      </c>
      <c r="U44" s="1"/>
      <c r="V44" s="5">
        <f t="shared" si="35"/>
        <v>1.8038354988892029</v>
      </c>
      <c r="W44" s="1"/>
      <c r="X44" s="1">
        <f t="shared" si="36"/>
        <v>-6460.9</v>
      </c>
      <c r="Y44" s="1"/>
      <c r="Z44" s="5">
        <f t="shared" si="37"/>
        <v>-0.73883102566565573</v>
      </c>
    </row>
    <row r="45" spans="1:26" s="24" customFormat="1" hidden="1" outlineLevel="2" x14ac:dyDescent="0.3">
      <c r="A45" s="27"/>
      <c r="B45" s="12" t="str">
        <f>CONCATENATE("          ", "6305", " - ", "FREIGHT OUT")</f>
        <v xml:space="preserve">          6305 - FREIGHT OUT</v>
      </c>
      <c r="C45" s="12"/>
      <c r="D45" s="8">
        <v>9911.1200000000008</v>
      </c>
      <c r="E45" s="3"/>
      <c r="F45" s="7">
        <f t="shared" si="30"/>
        <v>3.914653606130027</v>
      </c>
      <c r="G45" s="3"/>
      <c r="H45" s="8">
        <v>11905.2</v>
      </c>
      <c r="I45" s="3"/>
      <c r="J45" s="7">
        <f t="shared" si="31"/>
        <v>2.4557589209281603</v>
      </c>
      <c r="K45" s="3"/>
      <c r="L45" s="8">
        <f t="shared" si="32"/>
        <v>-1994.08</v>
      </c>
      <c r="M45" s="3"/>
      <c r="N45" s="7">
        <f t="shared" si="33"/>
        <v>-0.16749655612673453</v>
      </c>
      <c r="O45" s="12"/>
      <c r="P45" s="8">
        <v>9911.1200000000008</v>
      </c>
      <c r="Q45" s="3"/>
      <c r="R45" s="7">
        <f t="shared" si="34"/>
        <v>3.914653606130027</v>
      </c>
      <c r="S45" s="3"/>
      <c r="T45" s="8">
        <v>11905.2</v>
      </c>
      <c r="U45" s="3"/>
      <c r="V45" s="7">
        <f t="shared" si="35"/>
        <v>2.4557589209281603</v>
      </c>
      <c r="W45" s="3"/>
      <c r="X45" s="8">
        <f t="shared" si="36"/>
        <v>-1994.08</v>
      </c>
      <c r="Y45" s="3"/>
      <c r="Z45" s="7">
        <f t="shared" si="37"/>
        <v>-0.16749655612673453</v>
      </c>
    </row>
    <row r="46" spans="1:26" s="24" customFormat="1" hidden="1" outlineLevel="2" x14ac:dyDescent="0.3">
      <c r="A46" s="27"/>
      <c r="B46" s="12" t="str">
        <f>CONCATENATE("          ", "6307", " - ", "POSTAGE")</f>
        <v xml:space="preserve">          6307 - POSTAGE</v>
      </c>
      <c r="C46" s="12"/>
      <c r="D46" s="8">
        <v>-7627.26</v>
      </c>
      <c r="E46" s="3"/>
      <c r="F46" s="7">
        <f t="shared" si="30"/>
        <v>-3.0125839323801253</v>
      </c>
      <c r="G46" s="3"/>
      <c r="H46" s="8">
        <v>-3160.44</v>
      </c>
      <c r="I46" s="3"/>
      <c r="J46" s="7">
        <f t="shared" si="31"/>
        <v>-0.65192342203895737</v>
      </c>
      <c r="K46" s="3"/>
      <c r="L46" s="8">
        <f t="shared" si="32"/>
        <v>-4466.82</v>
      </c>
      <c r="M46" s="3"/>
      <c r="N46" s="7">
        <f t="shared" si="33"/>
        <v>1.4133538368075329</v>
      </c>
      <c r="O46" s="12"/>
      <c r="P46" s="8">
        <v>-7627.26</v>
      </c>
      <c r="Q46" s="3"/>
      <c r="R46" s="7">
        <f t="shared" si="34"/>
        <v>-3.0125839323801253</v>
      </c>
      <c r="S46" s="3"/>
      <c r="T46" s="8">
        <v>-3160.44</v>
      </c>
      <c r="U46" s="3"/>
      <c r="V46" s="7">
        <f t="shared" si="35"/>
        <v>-0.65192342203895737</v>
      </c>
      <c r="W46" s="3"/>
      <c r="X46" s="8">
        <f t="shared" si="36"/>
        <v>-4466.82</v>
      </c>
      <c r="Y46" s="3"/>
      <c r="Z46" s="7">
        <f t="shared" si="37"/>
        <v>1.4133538368075329</v>
      </c>
    </row>
    <row r="47" spans="1:26" s="29" customFormat="1" outlineLevel="1" collapsed="1" x14ac:dyDescent="0.3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2345.98</v>
      </c>
      <c r="E47" s="1"/>
      <c r="F47" s="5">
        <f t="shared" ref="F47:F49" si="38">IF(D$12=0,0,D47/D$12)</f>
        <v>0.92660557705979951</v>
      </c>
      <c r="G47" s="1"/>
      <c r="H47" s="1">
        <f>SUM(OSRRefH22_5x_0)</f>
        <v>6378.1</v>
      </c>
      <c r="I47" s="1"/>
      <c r="J47" s="5">
        <f t="shared" ref="J47:J49" si="39">IF(H$12=0,0,H47/H$12)</f>
        <v>1.3156499658612959</v>
      </c>
      <c r="K47" s="1"/>
      <c r="L47" s="1">
        <f t="shared" ref="L47:L49" si="40">+D47-H47</f>
        <v>-4032.1200000000003</v>
      </c>
      <c r="M47" s="1"/>
      <c r="N47" s="5">
        <f t="shared" ref="N47:N49" si="41">IF(H47=0,0,L47/H47)</f>
        <v>-0.63218199777363171</v>
      </c>
      <c r="O47" s="14"/>
      <c r="P47" s="1">
        <f>SUM(OSRRefP22_5x_0)</f>
        <v>2345.98</v>
      </c>
      <c r="Q47" s="1"/>
      <c r="R47" s="5">
        <f t="shared" ref="R47:R49" si="42">IF(P$12=0,0,P47/P$12)</f>
        <v>0.92660557705979951</v>
      </c>
      <c r="S47" s="1"/>
      <c r="T47" s="1">
        <f>SUM(OSRRefT22_5x_0)</f>
        <v>6378.1</v>
      </c>
      <c r="U47" s="1"/>
      <c r="V47" s="5">
        <f t="shared" ref="V47:V49" si="43">IF(T$12=0,0,T47/T$12)</f>
        <v>1.3156499658612959</v>
      </c>
      <c r="W47" s="1"/>
      <c r="X47" s="1">
        <f t="shared" ref="X47:X49" si="44">+P47-T47</f>
        <v>-4032.1200000000003</v>
      </c>
      <c r="Y47" s="1"/>
      <c r="Z47" s="5">
        <f t="shared" ref="Z47:Z49" si="45">IF(T47=0,0,X47/T47)</f>
        <v>-0.63218199777363171</v>
      </c>
    </row>
    <row r="48" spans="1:26" s="24" customFormat="1" hidden="1" outlineLevel="2" x14ac:dyDescent="0.3">
      <c r="A48" s="27"/>
      <c r="B48" s="12" t="str">
        <f>CONCATENATE("          ", "6373", " - ", "MAINTENANCE CONTRACTS")</f>
        <v xml:space="preserve">          6373 - MAINTENANCE CONTRACTS</v>
      </c>
      <c r="C48" s="12"/>
      <c r="D48" s="8">
        <v>625.34</v>
      </c>
      <c r="E48" s="3"/>
      <c r="F48" s="7">
        <f t="shared" si="38"/>
        <v>0.24699423335176557</v>
      </c>
      <c r="G48" s="3"/>
      <c r="H48" s="8">
        <v>6378.1</v>
      </c>
      <c r="I48" s="3"/>
      <c r="J48" s="7">
        <f t="shared" si="39"/>
        <v>1.3156499658612959</v>
      </c>
      <c r="K48" s="3"/>
      <c r="L48" s="8">
        <f t="shared" si="40"/>
        <v>-5752.76</v>
      </c>
      <c r="M48" s="3"/>
      <c r="N48" s="7">
        <f t="shared" si="41"/>
        <v>-0.90195512770260733</v>
      </c>
      <c r="O48" s="12"/>
      <c r="P48" s="8">
        <v>625.34</v>
      </c>
      <c r="Q48" s="3"/>
      <c r="R48" s="7">
        <f t="shared" si="42"/>
        <v>0.24699423335176557</v>
      </c>
      <c r="S48" s="3"/>
      <c r="T48" s="8">
        <v>6378.1</v>
      </c>
      <c r="U48" s="3"/>
      <c r="V48" s="7">
        <f t="shared" si="43"/>
        <v>1.3156499658612959</v>
      </c>
      <c r="W48" s="3"/>
      <c r="X48" s="8">
        <f t="shared" si="44"/>
        <v>-5752.76</v>
      </c>
      <c r="Y48" s="3"/>
      <c r="Z48" s="7">
        <f t="shared" si="45"/>
        <v>-0.90195512770260733</v>
      </c>
    </row>
    <row r="49" spans="1:26" s="24" customFormat="1" hidden="1" outlineLevel="2" x14ac:dyDescent="0.3">
      <c r="A49" s="27"/>
      <c r="B49" s="12" t="str">
        <f>CONCATENATE("          ", "6375", " - ", "OUTSIDE REPAIRS &amp; MAINTENANCE")</f>
        <v xml:space="preserve">          6375 - OUTSIDE REPAIRS &amp; MAINTENANCE</v>
      </c>
      <c r="C49" s="12"/>
      <c r="D49" s="8">
        <v>1720.64</v>
      </c>
      <c r="E49" s="3"/>
      <c r="F49" s="7">
        <f t="shared" si="38"/>
        <v>0.67961134370803389</v>
      </c>
      <c r="G49" s="3"/>
      <c r="H49" s="8"/>
      <c r="I49" s="3"/>
      <c r="J49" s="7">
        <f t="shared" si="39"/>
        <v>0</v>
      </c>
      <c r="K49" s="3"/>
      <c r="L49" s="8">
        <f t="shared" si="40"/>
        <v>1720.64</v>
      </c>
      <c r="M49" s="3"/>
      <c r="N49" s="7">
        <f t="shared" si="41"/>
        <v>0</v>
      </c>
      <c r="O49" s="12"/>
      <c r="P49" s="8">
        <v>1720.64</v>
      </c>
      <c r="Q49" s="3"/>
      <c r="R49" s="7">
        <f t="shared" si="42"/>
        <v>0.67961134370803389</v>
      </c>
      <c r="S49" s="3"/>
      <c r="T49" s="8"/>
      <c r="U49" s="3"/>
      <c r="V49" s="7">
        <f t="shared" si="43"/>
        <v>0</v>
      </c>
      <c r="W49" s="3"/>
      <c r="X49" s="8">
        <f t="shared" si="44"/>
        <v>1720.64</v>
      </c>
      <c r="Y49" s="3"/>
      <c r="Z49" s="7">
        <f t="shared" si="45"/>
        <v>0</v>
      </c>
    </row>
    <row r="50" spans="1:26" s="29" customFormat="1" outlineLevel="1" collapsed="1" x14ac:dyDescent="0.3">
      <c r="A50" s="28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SUM(OSRRefD22_6x_0)</f>
        <v>6.06</v>
      </c>
      <c r="E50" s="1"/>
      <c r="F50" s="5">
        <f t="shared" ref="F50:F57" si="46">IF(D$12=0,0,D50/D$12)</f>
        <v>2.3935539932064143E-3</v>
      </c>
      <c r="G50" s="1"/>
      <c r="H50" s="1">
        <f>SUM(OSRRefH22_6x_0)</f>
        <v>5317.55</v>
      </c>
      <c r="I50" s="1"/>
      <c r="J50" s="5">
        <f t="shared" ref="J50:J57" si="47">IF(H$12=0,0,H50/H$12)</f>
        <v>1.0968837860751217</v>
      </c>
      <c r="K50" s="1"/>
      <c r="L50" s="1">
        <f t="shared" ref="L50:L57" si="48">+D50-H50</f>
        <v>-5311.49</v>
      </c>
      <c r="M50" s="1"/>
      <c r="N50" s="5">
        <f t="shared" ref="N50:N57" si="49">IF(H50=0,0,L50/H50)</f>
        <v>-0.99886037742945522</v>
      </c>
      <c r="O50" s="14"/>
      <c r="P50" s="1">
        <f>SUM(OSRRefP22_6x_0)</f>
        <v>6.06</v>
      </c>
      <c r="Q50" s="1"/>
      <c r="R50" s="5">
        <f t="shared" ref="R50:R57" si="50">IF(P$12=0,0,P50/P$12)</f>
        <v>2.3935539932064143E-3</v>
      </c>
      <c r="S50" s="1"/>
      <c r="T50" s="1">
        <f>SUM(OSRRefT22_6x_0)</f>
        <v>5317.55</v>
      </c>
      <c r="U50" s="1"/>
      <c r="V50" s="5">
        <f t="shared" ref="V50:V57" si="51">IF(T$12=0,0,T50/T$12)</f>
        <v>1.0968837860751217</v>
      </c>
      <c r="W50" s="1"/>
      <c r="X50" s="1">
        <f t="shared" ref="X50:X57" si="52">+P50-T50</f>
        <v>-5311.49</v>
      </c>
      <c r="Y50" s="1"/>
      <c r="Z50" s="5">
        <f t="shared" ref="Z50:Z57" si="53">IF(T50=0,0,X50/T50)</f>
        <v>-0.99886037742945522</v>
      </c>
    </row>
    <row r="51" spans="1:26" s="24" customFormat="1" hidden="1" outlineLevel="2" x14ac:dyDescent="0.3">
      <c r="A51" s="27"/>
      <c r="B51" s="12" t="str">
        <f>CONCATENATE("          ", "6259", " - ", "ROYALTY &amp; COMMISSIONS")</f>
        <v xml:space="preserve">          6259 - ROYALTY &amp; COMMISSIONS</v>
      </c>
      <c r="C51" s="12"/>
      <c r="D51" s="8">
        <v>6.06</v>
      </c>
      <c r="E51" s="3"/>
      <c r="F51" s="7">
        <f t="shared" si="46"/>
        <v>2.3935539932064143E-3</v>
      </c>
      <c r="G51" s="3"/>
      <c r="H51" s="8">
        <v>5317.55</v>
      </c>
      <c r="I51" s="3"/>
      <c r="J51" s="7">
        <f t="shared" si="47"/>
        <v>1.0968837860751217</v>
      </c>
      <c r="K51" s="3"/>
      <c r="L51" s="8">
        <f t="shared" si="48"/>
        <v>-5311.49</v>
      </c>
      <c r="M51" s="3"/>
      <c r="N51" s="7">
        <f t="shared" si="49"/>
        <v>-0.99886037742945522</v>
      </c>
      <c r="O51" s="12"/>
      <c r="P51" s="8">
        <v>6.06</v>
      </c>
      <c r="Q51" s="3"/>
      <c r="R51" s="7">
        <f t="shared" si="50"/>
        <v>2.3935539932064143E-3</v>
      </c>
      <c r="S51" s="3"/>
      <c r="T51" s="8">
        <v>5317.55</v>
      </c>
      <c r="U51" s="3"/>
      <c r="V51" s="7">
        <f t="shared" si="51"/>
        <v>1.0968837860751217</v>
      </c>
      <c r="W51" s="3"/>
      <c r="X51" s="8">
        <f t="shared" si="52"/>
        <v>-5311.49</v>
      </c>
      <c r="Y51" s="3"/>
      <c r="Z51" s="7">
        <f t="shared" si="53"/>
        <v>-0.99886037742945522</v>
      </c>
    </row>
    <row r="52" spans="1:26" s="29" customFormat="1" outlineLevel="1" collapsed="1" x14ac:dyDescent="0.3">
      <c r="A52" s="28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SUM(OSRRefD22_7x_0)</f>
        <v>3116.79</v>
      </c>
      <c r="E52" s="1"/>
      <c r="F52" s="5">
        <f t="shared" si="46"/>
        <v>1.2310569555257131</v>
      </c>
      <c r="G52" s="1"/>
      <c r="H52" s="1">
        <f>SUM(OSRRefH22_7x_0)</f>
        <v>4147.8</v>
      </c>
      <c r="I52" s="1"/>
      <c r="J52" s="5">
        <f t="shared" si="47"/>
        <v>0.85559224979217685</v>
      </c>
      <c r="K52" s="1"/>
      <c r="L52" s="1">
        <f t="shared" si="48"/>
        <v>-1031.0100000000002</v>
      </c>
      <c r="M52" s="1"/>
      <c r="N52" s="5">
        <f t="shared" si="49"/>
        <v>-0.2485679155214813</v>
      </c>
      <c r="O52" s="14"/>
      <c r="P52" s="1">
        <f>SUM(OSRRefP22_7x_0)</f>
        <v>3116.79</v>
      </c>
      <c r="Q52" s="1"/>
      <c r="R52" s="5">
        <f t="shared" si="50"/>
        <v>1.2310569555257131</v>
      </c>
      <c r="S52" s="1"/>
      <c r="T52" s="1">
        <f>SUM(OSRRefT22_7x_0)</f>
        <v>4147.8</v>
      </c>
      <c r="U52" s="1"/>
      <c r="V52" s="5">
        <f t="shared" si="51"/>
        <v>0.85559224979217685</v>
      </c>
      <c r="W52" s="1"/>
      <c r="X52" s="1">
        <f t="shared" si="52"/>
        <v>-1031.0100000000002</v>
      </c>
      <c r="Y52" s="1"/>
      <c r="Z52" s="5">
        <f t="shared" si="53"/>
        <v>-0.2485679155214813</v>
      </c>
    </row>
    <row r="53" spans="1:26" s="24" customFormat="1" hidden="1" outlineLevel="2" x14ac:dyDescent="0.3">
      <c r="A53" s="27"/>
      <c r="B53" s="12" t="str">
        <f>CONCATENATE("          ", "6235", " - ", "COVID-19 EXPENSES")</f>
        <v xml:space="preserve">          6235 - COVID-19 EXPENSES</v>
      </c>
      <c r="C53" s="12"/>
      <c r="D53" s="8"/>
      <c r="E53" s="3"/>
      <c r="F53" s="7">
        <f t="shared" si="46"/>
        <v>0</v>
      </c>
      <c r="G53" s="3"/>
      <c r="H53" s="8">
        <v>310.91000000000003</v>
      </c>
      <c r="I53" s="3"/>
      <c r="J53" s="7">
        <f t="shared" si="47"/>
        <v>6.4133320406694075E-2</v>
      </c>
      <c r="K53" s="3"/>
      <c r="L53" s="8">
        <f t="shared" si="48"/>
        <v>-310.91000000000003</v>
      </c>
      <c r="M53" s="3"/>
      <c r="N53" s="7">
        <f t="shared" si="49"/>
        <v>-1</v>
      </c>
      <c r="O53" s="12"/>
      <c r="P53" s="8"/>
      <c r="Q53" s="3"/>
      <c r="R53" s="7">
        <f t="shared" si="50"/>
        <v>0</v>
      </c>
      <c r="S53" s="3"/>
      <c r="T53" s="8">
        <v>310.91000000000003</v>
      </c>
      <c r="U53" s="3"/>
      <c r="V53" s="7">
        <f t="shared" si="51"/>
        <v>6.4133320406694075E-2</v>
      </c>
      <c r="W53" s="3"/>
      <c r="X53" s="8">
        <f t="shared" si="52"/>
        <v>-310.91000000000003</v>
      </c>
      <c r="Y53" s="3"/>
      <c r="Z53" s="7">
        <f t="shared" si="53"/>
        <v>-1</v>
      </c>
    </row>
    <row r="54" spans="1:26" s="24" customFormat="1" hidden="1" outlineLevel="2" x14ac:dyDescent="0.3">
      <c r="A54" s="27"/>
      <c r="B54" s="12" t="str">
        <f>CONCATENATE("          ", "6241", " - ", "OFFICE EXPENSE")</f>
        <v xml:space="preserve">          6241 - OFFICE EXPENSE</v>
      </c>
      <c r="C54" s="12"/>
      <c r="D54" s="8">
        <v>153.85</v>
      </c>
      <c r="E54" s="3"/>
      <c r="F54" s="7">
        <f t="shared" si="46"/>
        <v>6.076704321036417E-2</v>
      </c>
      <c r="G54" s="3"/>
      <c r="H54" s="8"/>
      <c r="I54" s="3"/>
      <c r="J54" s="7">
        <f t="shared" si="47"/>
        <v>0</v>
      </c>
      <c r="K54" s="3"/>
      <c r="L54" s="8">
        <f t="shared" si="48"/>
        <v>153.85</v>
      </c>
      <c r="M54" s="3"/>
      <c r="N54" s="7">
        <f t="shared" si="49"/>
        <v>0</v>
      </c>
      <c r="O54" s="12"/>
      <c r="P54" s="8">
        <v>153.85</v>
      </c>
      <c r="Q54" s="3"/>
      <c r="R54" s="7">
        <f t="shared" si="50"/>
        <v>6.076704321036417E-2</v>
      </c>
      <c r="S54" s="3"/>
      <c r="T54" s="8"/>
      <c r="U54" s="3"/>
      <c r="V54" s="7">
        <f t="shared" si="51"/>
        <v>0</v>
      </c>
      <c r="W54" s="3"/>
      <c r="X54" s="8">
        <f t="shared" si="52"/>
        <v>153.85</v>
      </c>
      <c r="Y54" s="3"/>
      <c r="Z54" s="7">
        <f t="shared" si="53"/>
        <v>0</v>
      </c>
    </row>
    <row r="55" spans="1:26" s="24" customFormat="1" hidden="1" outlineLevel="2" x14ac:dyDescent="0.3">
      <c r="A55" s="27"/>
      <c r="B55" s="12" t="str">
        <f>CONCATENATE("          ", "6243", " - ", "PAPER SUPPLIES")</f>
        <v xml:space="preserve">          6243 - PAPER SUPPLIES</v>
      </c>
      <c r="C55" s="12"/>
      <c r="D55" s="8">
        <v>1649.24</v>
      </c>
      <c r="E55" s="3"/>
      <c r="F55" s="7">
        <f t="shared" si="46"/>
        <v>0.65141006398609691</v>
      </c>
      <c r="G55" s="3"/>
      <c r="H55" s="8">
        <v>1080</v>
      </c>
      <c r="I55" s="3"/>
      <c r="J55" s="7">
        <f t="shared" si="47"/>
        <v>0.22277825106696345</v>
      </c>
      <c r="K55" s="3"/>
      <c r="L55" s="8">
        <f t="shared" si="48"/>
        <v>569.24</v>
      </c>
      <c r="M55" s="3"/>
      <c r="N55" s="7">
        <f t="shared" si="49"/>
        <v>0.52707407407407403</v>
      </c>
      <c r="O55" s="12"/>
      <c r="P55" s="8">
        <v>1649.24</v>
      </c>
      <c r="Q55" s="3"/>
      <c r="R55" s="7">
        <f t="shared" si="50"/>
        <v>0.65141006398609691</v>
      </c>
      <c r="S55" s="3"/>
      <c r="T55" s="8">
        <v>1080</v>
      </c>
      <c r="U55" s="3"/>
      <c r="V55" s="7">
        <f t="shared" si="51"/>
        <v>0.22277825106696345</v>
      </c>
      <c r="W55" s="3"/>
      <c r="X55" s="8">
        <f t="shared" si="52"/>
        <v>569.24</v>
      </c>
      <c r="Y55" s="3"/>
      <c r="Z55" s="7">
        <f t="shared" si="53"/>
        <v>0.52707407407407403</v>
      </c>
    </row>
    <row r="56" spans="1:26" s="24" customFormat="1" hidden="1" outlineLevel="2" x14ac:dyDescent="0.3">
      <c r="A56" s="27"/>
      <c r="B56" s="12" t="str">
        <f>CONCATENATE("          ", "6245", " - ", "PRINTING")</f>
        <v xml:space="preserve">          6245 - PRINTING</v>
      </c>
      <c r="C56" s="12"/>
      <c r="D56" s="8">
        <v>251.64</v>
      </c>
      <c r="E56" s="3"/>
      <c r="F56" s="7">
        <f t="shared" si="46"/>
        <v>9.9391737104036662E-2</v>
      </c>
      <c r="G56" s="3"/>
      <c r="H56" s="8">
        <v>-1543.5</v>
      </c>
      <c r="I56" s="3"/>
      <c r="J56" s="7">
        <f t="shared" si="47"/>
        <v>-0.31838725048320193</v>
      </c>
      <c r="K56" s="3"/>
      <c r="L56" s="8">
        <f t="shared" si="48"/>
        <v>1795.1399999999999</v>
      </c>
      <c r="M56" s="3"/>
      <c r="N56" s="7">
        <f t="shared" si="49"/>
        <v>-1.1630320699708454</v>
      </c>
      <c r="O56" s="12"/>
      <c r="P56" s="8">
        <v>251.64</v>
      </c>
      <c r="Q56" s="3"/>
      <c r="R56" s="7">
        <f t="shared" si="50"/>
        <v>9.9391737104036662E-2</v>
      </c>
      <c r="S56" s="3"/>
      <c r="T56" s="8">
        <v>-1543.5</v>
      </c>
      <c r="U56" s="3"/>
      <c r="V56" s="7">
        <f t="shared" si="51"/>
        <v>-0.31838725048320193</v>
      </c>
      <c r="W56" s="3"/>
      <c r="X56" s="8">
        <f t="shared" si="52"/>
        <v>1795.1399999999999</v>
      </c>
      <c r="Y56" s="3"/>
      <c r="Z56" s="7">
        <f t="shared" si="53"/>
        <v>-1.1630320699708454</v>
      </c>
    </row>
    <row r="57" spans="1:26" s="24" customFormat="1" hidden="1" outlineLevel="2" x14ac:dyDescent="0.3">
      <c r="A57" s="27"/>
      <c r="B57" s="12" t="str">
        <f>CONCATENATE("          ", "6247", " - ", "STORE SUPPLIES")</f>
        <v xml:space="preserve">          6247 - STORE SUPPLIES</v>
      </c>
      <c r="C57" s="12"/>
      <c r="D57" s="8">
        <v>1062.06</v>
      </c>
      <c r="E57" s="3"/>
      <c r="F57" s="7">
        <f t="shared" si="46"/>
        <v>0.41948811122521529</v>
      </c>
      <c r="G57" s="3"/>
      <c r="H57" s="8">
        <v>4300.3900000000003</v>
      </c>
      <c r="I57" s="3"/>
      <c r="J57" s="7">
        <f t="shared" si="47"/>
        <v>0.88706792880172125</v>
      </c>
      <c r="K57" s="3"/>
      <c r="L57" s="8">
        <f t="shared" si="48"/>
        <v>-3238.3300000000004</v>
      </c>
      <c r="M57" s="3"/>
      <c r="N57" s="7">
        <f t="shared" si="49"/>
        <v>-0.75303170177588552</v>
      </c>
      <c r="O57" s="12"/>
      <c r="P57" s="8">
        <v>1062.06</v>
      </c>
      <c r="Q57" s="3"/>
      <c r="R57" s="7">
        <f t="shared" si="50"/>
        <v>0.41948811122521529</v>
      </c>
      <c r="S57" s="3"/>
      <c r="T57" s="8">
        <v>4300.3900000000003</v>
      </c>
      <c r="U57" s="3"/>
      <c r="V57" s="7">
        <f t="shared" si="51"/>
        <v>0.88706792880172125</v>
      </c>
      <c r="W57" s="3"/>
      <c r="X57" s="8">
        <f t="shared" si="52"/>
        <v>-3238.3300000000004</v>
      </c>
      <c r="Y57" s="3"/>
      <c r="Z57" s="7">
        <f t="shared" si="53"/>
        <v>-0.75303170177588552</v>
      </c>
    </row>
    <row r="58" spans="1:26" s="29" customFormat="1" outlineLevel="1" collapsed="1" x14ac:dyDescent="0.3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SUM(OSRRefD22_8x_0)</f>
        <v>167.8</v>
      </c>
      <c r="E58" s="1"/>
      <c r="F58" s="5">
        <f t="shared" ref="F58:F59" si="54">IF(D$12=0,0,D58/D$12)</f>
        <v>6.6276957105616568E-2</v>
      </c>
      <c r="G58" s="1"/>
      <c r="H58" s="1">
        <f>SUM(OSRRefH22_8x_0)</f>
        <v>200</v>
      </c>
      <c r="I58" s="1"/>
      <c r="J58" s="5">
        <f t="shared" ref="J58:J59" si="55">IF(H$12=0,0,H58/H$12)</f>
        <v>4.1255231679067306E-2</v>
      </c>
      <c r="K58" s="1"/>
      <c r="L58" s="1">
        <f t="shared" ref="L58:L59" si="56">+D58-H58</f>
        <v>-32.199999999999989</v>
      </c>
      <c r="M58" s="1"/>
      <c r="N58" s="5">
        <f t="shared" ref="N58:N59" si="57">IF(H58=0,0,L58/H58)</f>
        <v>-0.16099999999999995</v>
      </c>
      <c r="O58" s="14"/>
      <c r="P58" s="1">
        <f>SUM(OSRRefP22_8x_0)</f>
        <v>167.8</v>
      </c>
      <c r="Q58" s="1"/>
      <c r="R58" s="5">
        <f t="shared" ref="R58:R59" si="58">IF(P$12=0,0,P58/P$12)</f>
        <v>6.6276957105616568E-2</v>
      </c>
      <c r="S58" s="1"/>
      <c r="T58" s="1">
        <f>SUM(OSRRefT22_8x_0)</f>
        <v>200</v>
      </c>
      <c r="U58" s="1"/>
      <c r="V58" s="5">
        <f t="shared" ref="V58:V59" si="59">IF(T$12=0,0,T58/T$12)</f>
        <v>4.1255231679067306E-2</v>
      </c>
      <c r="W58" s="1"/>
      <c r="X58" s="1">
        <f t="shared" ref="X58:X59" si="60">+P58-T58</f>
        <v>-32.199999999999989</v>
      </c>
      <c r="Y58" s="1"/>
      <c r="Z58" s="5">
        <f t="shared" ref="Z58:Z59" si="61">IF(T58=0,0,X58/T58)</f>
        <v>-0.16099999999999995</v>
      </c>
    </row>
    <row r="59" spans="1:26" s="24" customFormat="1" hidden="1" outlineLevel="2" x14ac:dyDescent="0.3">
      <c r="A59" s="27"/>
      <c r="B59" s="12" t="str">
        <f>CONCATENATE("          ", "6309", " - ", "TELEPHONE")</f>
        <v xml:space="preserve">          6309 - TELEPHONE</v>
      </c>
      <c r="C59" s="12"/>
      <c r="D59" s="8">
        <v>167.8</v>
      </c>
      <c r="E59" s="3"/>
      <c r="F59" s="7">
        <f t="shared" si="54"/>
        <v>6.6276957105616568E-2</v>
      </c>
      <c r="G59" s="3"/>
      <c r="H59" s="8">
        <v>200</v>
      </c>
      <c r="I59" s="3"/>
      <c r="J59" s="7">
        <f t="shared" si="55"/>
        <v>4.1255231679067306E-2</v>
      </c>
      <c r="K59" s="3"/>
      <c r="L59" s="8">
        <f t="shared" si="56"/>
        <v>-32.199999999999989</v>
      </c>
      <c r="M59" s="3"/>
      <c r="N59" s="7">
        <f t="shared" si="57"/>
        <v>-0.16099999999999995</v>
      </c>
      <c r="O59" s="12"/>
      <c r="P59" s="8">
        <v>167.8</v>
      </c>
      <c r="Q59" s="3"/>
      <c r="R59" s="7">
        <f t="shared" si="58"/>
        <v>6.6276957105616568E-2</v>
      </c>
      <c r="S59" s="3"/>
      <c r="T59" s="8">
        <v>200</v>
      </c>
      <c r="U59" s="3"/>
      <c r="V59" s="7">
        <f t="shared" si="59"/>
        <v>4.1255231679067306E-2</v>
      </c>
      <c r="W59" s="3"/>
      <c r="X59" s="8">
        <f t="shared" si="60"/>
        <v>-32.199999999999989</v>
      </c>
      <c r="Y59" s="3"/>
      <c r="Z59" s="7">
        <f t="shared" si="61"/>
        <v>-0.16099999999999995</v>
      </c>
    </row>
    <row r="60" spans="1:26" s="53" customFormat="1" x14ac:dyDescent="0.3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collapsed="1" x14ac:dyDescent="0.3">
      <c r="A61" s="10"/>
      <c r="B61" s="25" t="s">
        <v>292</v>
      </c>
      <c r="C61" s="10"/>
      <c r="D61" s="4">
        <f>SUM(OSRRefD25x_0)</f>
        <v>0</v>
      </c>
      <c r="E61" s="4"/>
      <c r="F61" s="11">
        <f t="shared" ref="F61:F63" si="62">IF(D$12=0,0,D61/D$12)</f>
        <v>0</v>
      </c>
      <c r="G61" s="4"/>
      <c r="H61" s="4">
        <f>SUM(OSRRefH25x_0)</f>
        <v>6782</v>
      </c>
      <c r="I61" s="4"/>
      <c r="J61" s="11">
        <f t="shared" ref="J61:J63" si="63">IF(H$12=0,0,H61/H$12)</f>
        <v>1.3989649062371723</v>
      </c>
      <c r="K61" s="4"/>
      <c r="L61" s="4">
        <f t="shared" ref="L61:L63" si="64">+D61-H61</f>
        <v>-6782</v>
      </c>
      <c r="M61" s="4"/>
      <c r="N61" s="11">
        <f t="shared" ref="N61:N63" si="65">IF(H61=0,0,L61/H61)</f>
        <v>-1</v>
      </c>
      <c r="O61" s="10"/>
      <c r="P61" s="4">
        <f>SUM(OSRRefP25x_0)</f>
        <v>0</v>
      </c>
      <c r="Q61" s="4"/>
      <c r="R61" s="11">
        <f t="shared" ref="R61:R63" si="66">IF(P$12=0,0,P61/P$12)</f>
        <v>0</v>
      </c>
      <c r="S61" s="4"/>
      <c r="T61" s="4">
        <f>SUM(OSRRefT25x_0)</f>
        <v>6782</v>
      </c>
      <c r="U61" s="4"/>
      <c r="V61" s="11">
        <f t="shared" ref="V61:V63" si="67">IF(T$12=0,0,T61/T$12)</f>
        <v>1.3989649062371723</v>
      </c>
      <c r="W61" s="4"/>
      <c r="X61" s="4">
        <f t="shared" ref="X61:X63" si="68">+P61-T61</f>
        <v>-6782</v>
      </c>
      <c r="Y61" s="4"/>
      <c r="Z61" s="11">
        <f t="shared" ref="Z61:Z63" si="69">IF(T61=0,0,X61/T61)</f>
        <v>-1</v>
      </c>
    </row>
    <row r="62" spans="1:26" s="24" customFormat="1" hidden="1" outlineLevel="1" x14ac:dyDescent="0.3">
      <c r="A62" s="50"/>
      <c r="B62" s="12" t="str">
        <f>CONCATENATE("          ", "9150", " - ", "MISC. INCOME")</f>
        <v xml:space="preserve">          9150 - MISC. INCOME</v>
      </c>
      <c r="C62" s="12"/>
      <c r="D62" s="3">
        <f t="shared" ref="D62:D63" si="70">0</f>
        <v>0</v>
      </c>
      <c r="E62" s="3"/>
      <c r="F62" s="22">
        <f t="shared" si="62"/>
        <v>0</v>
      </c>
      <c r="G62" s="3"/>
      <c r="H62" s="3">
        <f>--6782</f>
        <v>6782</v>
      </c>
      <c r="I62" s="3"/>
      <c r="J62" s="22">
        <f t="shared" si="63"/>
        <v>1.3989649062371723</v>
      </c>
      <c r="K62" s="3"/>
      <c r="L62" s="3">
        <f t="shared" si="64"/>
        <v>-6782</v>
      </c>
      <c r="M62" s="3"/>
      <c r="N62" s="22">
        <f t="shared" si="65"/>
        <v>-1</v>
      </c>
      <c r="O62" s="12"/>
      <c r="P62" s="3">
        <f t="shared" ref="P62:P63" si="71">0</f>
        <v>0</v>
      </c>
      <c r="Q62" s="3"/>
      <c r="R62" s="22">
        <f t="shared" si="66"/>
        <v>0</v>
      </c>
      <c r="S62" s="3"/>
      <c r="T62" s="3">
        <f>--6782</f>
        <v>6782</v>
      </c>
      <c r="U62" s="3"/>
      <c r="V62" s="22">
        <f t="shared" si="67"/>
        <v>1.3989649062371723</v>
      </c>
      <c r="W62" s="3"/>
      <c r="X62" s="3">
        <f t="shared" si="68"/>
        <v>-6782</v>
      </c>
      <c r="Y62" s="3"/>
      <c r="Z62" s="22">
        <f t="shared" si="69"/>
        <v>-1</v>
      </c>
    </row>
    <row r="63" spans="1:26" s="24" customFormat="1" hidden="1" outlineLevel="1" x14ac:dyDescent="0.3">
      <c r="A63" s="50"/>
      <c r="B63" s="12" t="str">
        <f>CONCATENATE("          ", "9163", " - ", "MISC. INCOME")</f>
        <v xml:space="preserve">          9163 - MISC. INCOME</v>
      </c>
      <c r="C63" s="12"/>
      <c r="D63" s="3">
        <f t="shared" si="70"/>
        <v>0</v>
      </c>
      <c r="E63" s="3"/>
      <c r="F63" s="22">
        <f t="shared" si="62"/>
        <v>0</v>
      </c>
      <c r="G63" s="3"/>
      <c r="H63" s="3">
        <f>0</f>
        <v>0</v>
      </c>
      <c r="I63" s="3"/>
      <c r="J63" s="22">
        <f t="shared" si="63"/>
        <v>0</v>
      </c>
      <c r="K63" s="3"/>
      <c r="L63" s="3">
        <f t="shared" si="64"/>
        <v>0</v>
      </c>
      <c r="M63" s="3"/>
      <c r="N63" s="22">
        <f t="shared" si="65"/>
        <v>0</v>
      </c>
      <c r="O63" s="12"/>
      <c r="P63" s="3">
        <f t="shared" si="71"/>
        <v>0</v>
      </c>
      <c r="Q63" s="3"/>
      <c r="R63" s="22">
        <f t="shared" si="66"/>
        <v>0</v>
      </c>
      <c r="S63" s="3"/>
      <c r="T63" s="3">
        <f>0</f>
        <v>0</v>
      </c>
      <c r="U63" s="3"/>
      <c r="V63" s="22">
        <f t="shared" si="67"/>
        <v>0</v>
      </c>
      <c r="W63" s="3"/>
      <c r="X63" s="3">
        <f t="shared" si="68"/>
        <v>0</v>
      </c>
      <c r="Y63" s="3"/>
      <c r="Z63" s="22">
        <f t="shared" si="69"/>
        <v>0</v>
      </c>
    </row>
    <row r="64" spans="1:26" x14ac:dyDescent="0.3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3">
      <c r="A65" s="10"/>
      <c r="B65" s="26" t="s">
        <v>276</v>
      </c>
      <c r="C65" s="26"/>
      <c r="D65" s="20">
        <f>+D25-D27+D61</f>
        <v>-35127.079999999994</v>
      </c>
      <c r="E65" s="13"/>
      <c r="F65" s="21">
        <f>IF(D$12=0,0,D65/D$12)</f>
        <v>-13.874350264633856</v>
      </c>
      <c r="G65" s="13"/>
      <c r="H65" s="20">
        <f>+H25-H27+H61</f>
        <v>-37524.080000000002</v>
      </c>
      <c r="I65" s="13"/>
      <c r="J65" s="21">
        <f>IF(H$12=0,0,H65/H$12)</f>
        <v>-7.7403230697192793</v>
      </c>
      <c r="K65" s="16"/>
      <c r="L65" s="20">
        <f>+D65-H65</f>
        <v>2397.0000000000073</v>
      </c>
      <c r="M65" s="16"/>
      <c r="N65" s="21">
        <f>IF(H65=0,0,L65/H65)</f>
        <v>-6.3878981176887145E-2</v>
      </c>
      <c r="O65" s="25"/>
      <c r="P65" s="20">
        <f>+P25-P27+P61</f>
        <v>-35127.079999999994</v>
      </c>
      <c r="Q65" s="13"/>
      <c r="R65" s="21">
        <f>IF(P$12=0,0,P65/P$12)</f>
        <v>-13.874350264633856</v>
      </c>
      <c r="S65" s="13"/>
      <c r="T65" s="20">
        <f>+T25-T27+T61</f>
        <v>-37524.080000000002</v>
      </c>
      <c r="U65" s="13"/>
      <c r="V65" s="21">
        <f>IF(T$12=0,0,T65/T$12)</f>
        <v>-7.7403230697192793</v>
      </c>
      <c r="W65" s="16"/>
      <c r="X65" s="20">
        <f>+P65-T65</f>
        <v>2397.0000000000073</v>
      </c>
      <c r="Y65" s="16"/>
      <c r="Z65" s="21">
        <f>IF(T65=0,0,X65/T65)</f>
        <v>-6.3878981176887145E-2</v>
      </c>
    </row>
    <row r="66" spans="1:26" x14ac:dyDescent="0.3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3">
      <c r="A67" s="51"/>
      <c r="B67" s="10" t="s">
        <v>127</v>
      </c>
      <c r="C67" s="10"/>
      <c r="D67" s="4">
        <v>1169.68</v>
      </c>
      <c r="E67" s="4"/>
      <c r="F67" s="11">
        <f>IF(D$12=0,0,D67/D$12)</f>
        <v>0.46199541827948504</v>
      </c>
      <c r="G67" s="4"/>
      <c r="H67" s="4">
        <v>2331.5700000000002</v>
      </c>
      <c r="I67" s="4"/>
      <c r="J67" s="11">
        <f>IF(H$12=0,0,H67/H$12)</f>
        <v>0.48094730262981478</v>
      </c>
      <c r="K67" s="4"/>
      <c r="L67" s="4">
        <f>+D67-H67</f>
        <v>-1161.8900000000001</v>
      </c>
      <c r="M67" s="4"/>
      <c r="N67" s="11">
        <f>IF(H67=0,0,L67/H67)</f>
        <v>-0.49832945182859617</v>
      </c>
      <c r="O67" s="10"/>
      <c r="P67" s="4">
        <v>1169.68</v>
      </c>
      <c r="Q67" s="4"/>
      <c r="R67" s="11">
        <f>IF(P$12=0,0,P67/P$12)</f>
        <v>0.46199541827948504</v>
      </c>
      <c r="S67" s="4"/>
      <c r="T67" s="4">
        <v>2331.5700000000002</v>
      </c>
      <c r="U67" s="4"/>
      <c r="V67" s="11">
        <f>IF(T$12=0,0,T67/T$12)</f>
        <v>0.48094730262981478</v>
      </c>
      <c r="W67" s="4"/>
      <c r="X67" s="4">
        <f>+P67-T67</f>
        <v>-1161.8900000000001</v>
      </c>
      <c r="Y67" s="4"/>
      <c r="Z67" s="11">
        <f>IF(T67=0,0,X67/T67)</f>
        <v>-0.49832945182859617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" thickBot="1" x14ac:dyDescent="0.35">
      <c r="A69" s="10"/>
      <c r="B69" s="26" t="s">
        <v>125</v>
      </c>
      <c r="C69" s="26"/>
      <c r="D69" s="36">
        <f>+D65-D67</f>
        <v>-36296.759999999995</v>
      </c>
      <c r="E69" s="13"/>
      <c r="F69" s="34">
        <f>IF(D$12=0,0,D69/D$12)</f>
        <v>-14.336345682913342</v>
      </c>
      <c r="G69" s="13"/>
      <c r="H69" s="36">
        <f>+H65-H67</f>
        <v>-39855.65</v>
      </c>
      <c r="I69" s="13"/>
      <c r="J69" s="34">
        <f>IF(H$12=0,0,H69/H$12)</f>
        <v>-8.2212703723490943</v>
      </c>
      <c r="K69" s="16"/>
      <c r="L69" s="36">
        <f>D69-H69</f>
        <v>3558.8900000000067</v>
      </c>
      <c r="M69" s="16"/>
      <c r="N69" s="34">
        <f>IF(H69=0,0,L69/H69)</f>
        <v>-8.9294491496187026E-2</v>
      </c>
      <c r="O69" s="25"/>
      <c r="P69" s="36">
        <f>+P65-P67</f>
        <v>-36296.759999999995</v>
      </c>
      <c r="Q69" s="13"/>
      <c r="R69" s="34">
        <f>IF(P$12=0,0,P69/P$12)</f>
        <v>-14.336345682913342</v>
      </c>
      <c r="S69" s="13"/>
      <c r="T69" s="36">
        <f>+T65-T67</f>
        <v>-39855.65</v>
      </c>
      <c r="U69" s="13"/>
      <c r="V69" s="34">
        <f>IF(T$12=0,0,T69/T$12)</f>
        <v>-8.2212703723490943</v>
      </c>
      <c r="W69" s="16"/>
      <c r="X69" s="36">
        <f>P69-T69</f>
        <v>3558.8900000000067</v>
      </c>
      <c r="Y69" s="16"/>
      <c r="Z69" s="34">
        <f>IF(T69=0,0,X69/T69)</f>
        <v>-8.9294491496187026E-2</v>
      </c>
    </row>
    <row r="70" spans="1:26" ht="15" thickTop="1" x14ac:dyDescent="0.3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3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" thickBot="1" x14ac:dyDescent="0.35">
      <c r="A72" s="10"/>
      <c r="B72" s="26" t="s">
        <v>293</v>
      </c>
      <c r="C72" s="26"/>
      <c r="D72" s="31">
        <f>SUM(D69:D71)</f>
        <v>-36296.759999999995</v>
      </c>
      <c r="E72" s="13"/>
      <c r="F72" s="33">
        <f>IF(D$12=0,0,D72/D$12)</f>
        <v>-14.336345682913342</v>
      </c>
      <c r="G72" s="13"/>
      <c r="H72" s="31">
        <f>SUM(H69:H71)</f>
        <v>-39855.65</v>
      </c>
      <c r="I72" s="13"/>
      <c r="J72" s="33">
        <f>IF(H$12=0,0,H72/H$12)</f>
        <v>-8.2212703723490943</v>
      </c>
      <c r="K72" s="16"/>
      <c r="L72" s="31">
        <f>+D72-H72</f>
        <v>3558.8900000000067</v>
      </c>
      <c r="M72" s="16"/>
      <c r="N72" s="33">
        <f>IF(H72=0,0,L72/H72)</f>
        <v>-8.9294491496187026E-2</v>
      </c>
      <c r="O72" s="25"/>
      <c r="P72" s="31">
        <f>SUM(P69:P71)</f>
        <v>-36296.759999999995</v>
      </c>
      <c r="Q72" s="13"/>
      <c r="R72" s="33">
        <f>IF(P$12=0,0,P72/P$12)</f>
        <v>-14.336345682913342</v>
      </c>
      <c r="S72" s="13"/>
      <c r="T72" s="31">
        <f>SUM(T69:T71)</f>
        <v>-39855.65</v>
      </c>
      <c r="U72" s="13"/>
      <c r="V72" s="33">
        <f>IF(T$12=0,0,T72/T$12)</f>
        <v>-8.2212703723490943</v>
      </c>
      <c r="W72" s="16"/>
      <c r="X72" s="31">
        <f>+P72-T72</f>
        <v>3558.8900000000067</v>
      </c>
      <c r="Y72" s="16"/>
      <c r="Z72" s="33">
        <f>IF(T72=0,0,X72/T72)</f>
        <v>-8.9294491496187026E-2</v>
      </c>
    </row>
    <row r="73" spans="1:26" ht="15" thickTop="1" x14ac:dyDescent="0.3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A74" s="9"/>
      <c r="B74" s="59">
        <v>44462.666883414349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A75" s="9"/>
      <c r="B75" s="57" t="s">
        <v>56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">
      <c r="A76" s="9"/>
      <c r="B76" s="61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2531.7999999999997</v>
      </c>
      <c r="E12" s="4"/>
      <c r="F12" s="11"/>
      <c r="G12" s="4"/>
      <c r="H12" s="4">
        <f>SUM(OSRRefH13x_0)</f>
        <v>4847.87</v>
      </c>
      <c r="I12" s="4"/>
      <c r="J12" s="11"/>
      <c r="K12" s="4"/>
      <c r="L12" s="4">
        <f t="shared" ref="L12:L19" si="0">+D12-H12</f>
        <v>-2316.0700000000002</v>
      </c>
      <c r="M12" s="4"/>
      <c r="N12" s="11">
        <f t="shared" ref="N12:N19" si="1">IF(H12=0,0,L12/H12)</f>
        <v>-0.47775002217468709</v>
      </c>
      <c r="O12" s="10"/>
      <c r="P12" s="4">
        <f>SUM(OSRRefP13x_0)</f>
        <v>2531.7999999999997</v>
      </c>
      <c r="Q12" s="4"/>
      <c r="R12" s="11"/>
      <c r="S12" s="4"/>
      <c r="T12" s="4">
        <f>SUM(OSRRefT13x_0)</f>
        <v>4847.87</v>
      </c>
      <c r="U12" s="4"/>
      <c r="V12" s="11"/>
      <c r="W12" s="4"/>
      <c r="X12" s="4">
        <f t="shared" ref="X12:X19" si="2">+P12-T12</f>
        <v>-2316.0700000000002</v>
      </c>
      <c r="Y12" s="4"/>
      <c r="Z12" s="11">
        <f t="shared" ref="Z12:Z19" si="3">IF(T12=0,0,X12/T12)</f>
        <v>-0.47775002217468709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--2230.15</f>
        <v>2230.15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2230.15</v>
      </c>
      <c r="M13" s="3"/>
      <c r="N13" s="22">
        <f t="shared" si="1"/>
        <v>0</v>
      </c>
      <c r="O13" s="12"/>
      <c r="P13" s="3">
        <f>--2230.15</f>
        <v>2230.15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2230.15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"4041", " - ", "TAXABLE SALES-LOGO GIFTS")</f>
        <v xml:space="preserve">          4041 - TAXABLE SALES-LOGO GIFTS</v>
      </c>
      <c r="C14" s="12"/>
      <c r="D14" s="3">
        <f t="shared" ref="D14:D15" si="4">0</f>
        <v>0</v>
      </c>
      <c r="E14" s="3"/>
      <c r="F14" s="22"/>
      <c r="G14" s="3"/>
      <c r="H14" s="3">
        <f>--1085.6</f>
        <v>1085.5999999999999</v>
      </c>
      <c r="I14" s="3"/>
      <c r="J14" s="22"/>
      <c r="K14" s="3"/>
      <c r="L14" s="3">
        <f t="shared" si="0"/>
        <v>-1085.5999999999999</v>
      </c>
      <c r="M14" s="3"/>
      <c r="N14" s="22">
        <f t="shared" si="1"/>
        <v>-1</v>
      </c>
      <c r="O14" s="12"/>
      <c r="P14" s="3">
        <f t="shared" ref="P14:P15" si="5">0</f>
        <v>0</v>
      </c>
      <c r="Q14" s="3"/>
      <c r="R14" s="22"/>
      <c r="S14" s="3"/>
      <c r="T14" s="3">
        <f>--1085.6</f>
        <v>1085.5999999999999</v>
      </c>
      <c r="U14" s="3"/>
      <c r="V14" s="22"/>
      <c r="W14" s="3"/>
      <c r="X14" s="3">
        <f t="shared" si="2"/>
        <v>-1085.5999999999999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"4042", " - ", "TAXABLE SALES-EVERYDAY GIFTS")</f>
        <v xml:space="preserve">          4042 - TAXABLE SALES-EVERYDAY GIFTS</v>
      </c>
      <c r="C15" s="12"/>
      <c r="D15" s="3">
        <f t="shared" si="4"/>
        <v>0</v>
      </c>
      <c r="E15" s="3"/>
      <c r="F15" s="22"/>
      <c r="G15" s="3"/>
      <c r="H15" s="3">
        <f>--3750.52</f>
        <v>3750.52</v>
      </c>
      <c r="I15" s="3"/>
      <c r="J15" s="22"/>
      <c r="K15" s="3"/>
      <c r="L15" s="3">
        <f t="shared" si="0"/>
        <v>-3750.52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--3750.52</f>
        <v>3750.52</v>
      </c>
      <c r="U15" s="3"/>
      <c r="V15" s="22"/>
      <c r="W15" s="3"/>
      <c r="X15" s="3">
        <f t="shared" si="2"/>
        <v>-3750.52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"4100", " - ", "NON-TAXABLE SALES")</f>
        <v xml:space="preserve">          4100 - NON-TAXABLE SALES</v>
      </c>
      <c r="C16" s="12"/>
      <c r="D16" s="3">
        <f>--281.45</f>
        <v>281.45</v>
      </c>
      <c r="E16" s="3"/>
      <c r="F16" s="22"/>
      <c r="G16" s="3"/>
      <c r="H16" s="3">
        <f>0</f>
        <v>0</v>
      </c>
      <c r="I16" s="3"/>
      <c r="J16" s="22"/>
      <c r="K16" s="3"/>
      <c r="L16" s="3">
        <f t="shared" si="0"/>
        <v>281.45</v>
      </c>
      <c r="M16" s="3"/>
      <c r="N16" s="22">
        <f t="shared" si="1"/>
        <v>0</v>
      </c>
      <c r="O16" s="12"/>
      <c r="P16" s="3">
        <f>--281.45</f>
        <v>281.45</v>
      </c>
      <c r="Q16" s="3"/>
      <c r="R16" s="22"/>
      <c r="S16" s="3"/>
      <c r="T16" s="3">
        <f>0</f>
        <v>0</v>
      </c>
      <c r="U16" s="3"/>
      <c r="V16" s="22"/>
      <c r="W16" s="3"/>
      <c r="X16" s="3">
        <f t="shared" si="2"/>
        <v>281.45</v>
      </c>
      <c r="Y16" s="3"/>
      <c r="Z16" s="22">
        <f t="shared" si="3"/>
        <v>0</v>
      </c>
    </row>
    <row r="17" spans="1:26" s="24" customFormat="1" hidden="1" outlineLevel="1" x14ac:dyDescent="0.3">
      <c r="A17" s="50"/>
      <c r="B17" s="12" t="str">
        <f>CONCATENATE("          ", "4141", " - ", "NON-TAXABLE SALES-LOGO GIFTS")</f>
        <v xml:space="preserve">          4141 - NON-TAXABLE SALES-LOGO GIFTS</v>
      </c>
      <c r="C17" s="12"/>
      <c r="D17" s="3">
        <f>0</f>
        <v>0</v>
      </c>
      <c r="E17" s="3"/>
      <c r="F17" s="22"/>
      <c r="G17" s="3"/>
      <c r="H17" s="3">
        <f>--10.75</f>
        <v>10.75</v>
      </c>
      <c r="I17" s="3"/>
      <c r="J17" s="22"/>
      <c r="K17" s="3"/>
      <c r="L17" s="3">
        <f t="shared" si="0"/>
        <v>-10.75</v>
      </c>
      <c r="M17" s="3"/>
      <c r="N17" s="22">
        <f t="shared" si="1"/>
        <v>-1</v>
      </c>
      <c r="O17" s="12"/>
      <c r="P17" s="3">
        <f>0</f>
        <v>0</v>
      </c>
      <c r="Q17" s="3"/>
      <c r="R17" s="22"/>
      <c r="S17" s="3"/>
      <c r="T17" s="3">
        <f>--10.75</f>
        <v>10.75</v>
      </c>
      <c r="U17" s="3"/>
      <c r="V17" s="22"/>
      <c r="W17" s="3"/>
      <c r="X17" s="3">
        <f t="shared" si="2"/>
        <v>-10.75</v>
      </c>
      <c r="Y17" s="3"/>
      <c r="Z17" s="22">
        <f t="shared" si="3"/>
        <v>-1</v>
      </c>
    </row>
    <row r="18" spans="1:26" s="24" customFormat="1" hidden="1" outlineLevel="1" x14ac:dyDescent="0.3">
      <c r="A18" s="50"/>
      <c r="B18" s="12" t="str">
        <f>CONCATENATE("          ", "4146", " - ", "NON-TAXABLE SALES-COIN OP MACH")</f>
        <v xml:space="preserve">          4146 - NON-TAXABLE SALES-COIN OP MACH</v>
      </c>
      <c r="C18" s="12"/>
      <c r="D18" s="3">
        <f>--20.2</f>
        <v>20.2</v>
      </c>
      <c r="E18" s="3"/>
      <c r="F18" s="22"/>
      <c r="G18" s="3"/>
      <c r="H18" s="3">
        <f>0</f>
        <v>0</v>
      </c>
      <c r="I18" s="3"/>
      <c r="J18" s="22"/>
      <c r="K18" s="3"/>
      <c r="L18" s="3">
        <f t="shared" si="0"/>
        <v>20.2</v>
      </c>
      <c r="M18" s="3"/>
      <c r="N18" s="22">
        <f t="shared" si="1"/>
        <v>0</v>
      </c>
      <c r="O18" s="12"/>
      <c r="P18" s="3">
        <f>--20.2</f>
        <v>20.2</v>
      </c>
      <c r="Q18" s="3"/>
      <c r="R18" s="22"/>
      <c r="S18" s="3"/>
      <c r="T18" s="3">
        <f>0</f>
        <v>0</v>
      </c>
      <c r="U18" s="3"/>
      <c r="V18" s="22"/>
      <c r="W18" s="3"/>
      <c r="X18" s="3">
        <f t="shared" si="2"/>
        <v>20.2</v>
      </c>
      <c r="Y18" s="3"/>
      <c r="Z18" s="22">
        <f t="shared" si="3"/>
        <v>0</v>
      </c>
    </row>
    <row r="19" spans="1:26" s="24" customFormat="1" hidden="1" outlineLevel="1" x14ac:dyDescent="0.3">
      <c r="A19" s="50"/>
      <c r="B19" s="12" t="str">
        <f>CONCATENATE("          ", "4147", " - ", "NON-TAXABLE SALES-MISC")</f>
        <v xml:space="preserve">          4147 - NON-TAXABLE SALES-MISC</v>
      </c>
      <c r="C19" s="12"/>
      <c r="D19" s="3">
        <f>0</f>
        <v>0</v>
      </c>
      <c r="E19" s="3"/>
      <c r="F19" s="22"/>
      <c r="G19" s="3"/>
      <c r="H19" s="3">
        <f>--1</f>
        <v>1</v>
      </c>
      <c r="I19" s="3"/>
      <c r="J19" s="22"/>
      <c r="K19" s="3"/>
      <c r="L19" s="3">
        <f t="shared" si="0"/>
        <v>-1</v>
      </c>
      <c r="M19" s="3"/>
      <c r="N19" s="22">
        <f t="shared" si="1"/>
        <v>-1</v>
      </c>
      <c r="O19" s="12"/>
      <c r="P19" s="3">
        <f>0</f>
        <v>0</v>
      </c>
      <c r="Q19" s="3"/>
      <c r="R19" s="22"/>
      <c r="S19" s="3"/>
      <c r="T19" s="3">
        <f>--1</f>
        <v>1</v>
      </c>
      <c r="U19" s="3"/>
      <c r="V19" s="22"/>
      <c r="W19" s="3"/>
      <c r="X19" s="3">
        <f t="shared" si="2"/>
        <v>-1</v>
      </c>
      <c r="Y19" s="3"/>
      <c r="Z19" s="22">
        <f t="shared" si="3"/>
        <v>-1</v>
      </c>
    </row>
    <row r="20" spans="1:26" x14ac:dyDescent="0.3">
      <c r="A20" s="9"/>
      <c r="B20" s="10"/>
      <c r="C20" s="9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5" t="s">
        <v>256</v>
      </c>
      <c r="C21" s="10"/>
      <c r="D21" s="4">
        <f>SUM(0)</f>
        <v>0</v>
      </c>
      <c r="E21" s="4"/>
      <c r="F21" s="11">
        <f>IF(D$12=0,0,D21/D$12)</f>
        <v>0</v>
      </c>
      <c r="G21" s="4"/>
      <c r="H21" s="4">
        <f>SUM(0)</f>
        <v>0</v>
      </c>
      <c r="I21" s="4"/>
      <c r="J21" s="11">
        <f>IF(H$12=0,0,H21/H$12)</f>
        <v>0</v>
      </c>
      <c r="K21" s="4"/>
      <c r="L21" s="4">
        <f>+D21-H21</f>
        <v>0</v>
      </c>
      <c r="M21" s="4"/>
      <c r="N21" s="11">
        <f>IF(H21=0,0,L21/H21)</f>
        <v>0</v>
      </c>
      <c r="O21" s="10"/>
      <c r="P21" s="4">
        <f>SUM(0)</f>
        <v>0</v>
      </c>
      <c r="Q21" s="4"/>
      <c r="R21" s="11">
        <f>IF(P$12=0,0,P21/P$12)</f>
        <v>0</v>
      </c>
      <c r="S21" s="4"/>
      <c r="T21" s="4">
        <f>SUM(0)</f>
        <v>0</v>
      </c>
      <c r="U21" s="4"/>
      <c r="V21" s="11">
        <f>IF(T$12=0,0,T21/T$12)</f>
        <v>0</v>
      </c>
      <c r="W21" s="4"/>
      <c r="X21" s="4">
        <f>+P21-T21</f>
        <v>0</v>
      </c>
      <c r="Y21" s="4"/>
      <c r="Z21" s="11">
        <f>IF(T21=0,0,X21/T21)</f>
        <v>0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107</v>
      </c>
      <c r="C23" s="26"/>
      <c r="D23" s="20">
        <f>D12-D21</f>
        <v>2531.7999999999997</v>
      </c>
      <c r="E23" s="13"/>
      <c r="F23" s="21">
        <f>IF(D$12=0,0,D23/D$12)</f>
        <v>1</v>
      </c>
      <c r="G23" s="13"/>
      <c r="H23" s="20">
        <f>H12-H21</f>
        <v>4847.87</v>
      </c>
      <c r="I23" s="13"/>
      <c r="J23" s="21">
        <f>IF(H$12=0,0,H23/H$12)</f>
        <v>1</v>
      </c>
      <c r="K23" s="16"/>
      <c r="L23" s="20">
        <f>+D23-H23</f>
        <v>-2316.0700000000002</v>
      </c>
      <c r="M23" s="16"/>
      <c r="N23" s="21">
        <f>IF(H23=0,0,L23/H23)</f>
        <v>-0.47775002217468709</v>
      </c>
      <c r="O23" s="25"/>
      <c r="P23" s="20">
        <f>P12-P21</f>
        <v>2531.7999999999997</v>
      </c>
      <c r="Q23" s="13"/>
      <c r="R23" s="21">
        <f>IF(P$12=0,0,P23/P$12)</f>
        <v>1</v>
      </c>
      <c r="S23" s="13"/>
      <c r="T23" s="20">
        <f>T12-T21</f>
        <v>4847.87</v>
      </c>
      <c r="U23" s="13"/>
      <c r="V23" s="21">
        <f>IF(T$12=0,0,T23/T$12)</f>
        <v>1</v>
      </c>
      <c r="W23" s="16"/>
      <c r="X23" s="20">
        <f>+P23-T23</f>
        <v>-2316.0700000000002</v>
      </c>
      <c r="Y23" s="16"/>
      <c r="Z23" s="21">
        <f>IF(T23=0,0,X23/T23)</f>
        <v>-0.47775002217468709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294</v>
      </c>
      <c r="C25" s="10"/>
      <c r="D25" s="19">
        <f>SUM(OSRRefD22x_0)</f>
        <v>37658.879999999997</v>
      </c>
      <c r="E25" s="19"/>
      <c r="F25" s="35">
        <f t="shared" ref="F25:F34" si="6">IF(D$12=0,0,D25/D$12)</f>
        <v>14.874350264633858</v>
      </c>
      <c r="G25" s="19"/>
      <c r="H25" s="19">
        <f>SUM(OSRRefH22x_0)</f>
        <v>49153.950000000004</v>
      </c>
      <c r="I25" s="19"/>
      <c r="J25" s="35">
        <f t="shared" ref="J25:J34" si="7">IF(H$12=0,0,H25/H$12)</f>
        <v>10.139287975956453</v>
      </c>
      <c r="K25" s="4"/>
      <c r="L25" s="19">
        <f t="shared" ref="L25:L34" si="8">+D25-H25</f>
        <v>-11495.070000000007</v>
      </c>
      <c r="M25" s="4"/>
      <c r="N25" s="35">
        <f t="shared" ref="N25:N34" si="9">IF(H25=0,0,L25/H25)</f>
        <v>-0.23385852001721136</v>
      </c>
      <c r="O25" s="10"/>
      <c r="P25" s="19">
        <f>SUM(OSRRefP22x_0)</f>
        <v>37658.879999999997</v>
      </c>
      <c r="Q25" s="19"/>
      <c r="R25" s="35">
        <f t="shared" ref="R25:R34" si="10">IF(P$12=0,0,P25/P$12)</f>
        <v>14.874350264633858</v>
      </c>
      <c r="S25" s="19"/>
      <c r="T25" s="19">
        <f>SUM(OSRRefT22x_0)</f>
        <v>49153.950000000004</v>
      </c>
      <c r="U25" s="19"/>
      <c r="V25" s="35">
        <f t="shared" ref="V25:V34" si="11">IF(T$12=0,0,T25/T$12)</f>
        <v>10.139287975956453</v>
      </c>
      <c r="W25" s="4"/>
      <c r="X25" s="19">
        <f t="shared" ref="X25:X34" si="12">+P25-T25</f>
        <v>-11495.070000000007</v>
      </c>
      <c r="Y25" s="4"/>
      <c r="Z25" s="35">
        <f t="shared" ref="Z25:Z34" si="13">IF(T25=0,0,X25/T25)</f>
        <v>-0.23385852001721136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8921.32</v>
      </c>
      <c r="E26" s="1"/>
      <c r="F26" s="5">
        <f t="shared" si="6"/>
        <v>3.5237064539063119</v>
      </c>
      <c r="G26" s="1"/>
      <c r="H26" s="1">
        <f>SUM(OSRRefH22_0x_0)</f>
        <v>7930.28</v>
      </c>
      <c r="I26" s="1"/>
      <c r="J26" s="5">
        <f t="shared" si="7"/>
        <v>1.6358276933993692</v>
      </c>
      <c r="K26" s="1"/>
      <c r="L26" s="1">
        <f t="shared" si="8"/>
        <v>991.04</v>
      </c>
      <c r="M26" s="1"/>
      <c r="N26" s="5">
        <f t="shared" si="9"/>
        <v>0.12496910575666938</v>
      </c>
      <c r="O26" s="14"/>
      <c r="P26" s="1">
        <f>SUM(OSRRefP22_0x_0)</f>
        <v>8921.32</v>
      </c>
      <c r="Q26" s="1"/>
      <c r="R26" s="5">
        <f t="shared" si="10"/>
        <v>3.5237064539063119</v>
      </c>
      <c r="S26" s="1"/>
      <c r="T26" s="1">
        <f>SUM(OSRRefT22_0x_0)</f>
        <v>7930.28</v>
      </c>
      <c r="U26" s="1"/>
      <c r="V26" s="5">
        <f t="shared" si="11"/>
        <v>1.6358276933993692</v>
      </c>
      <c r="W26" s="1"/>
      <c r="X26" s="1">
        <f t="shared" si="12"/>
        <v>991.04</v>
      </c>
      <c r="Y26" s="1"/>
      <c r="Z26" s="5">
        <f t="shared" si="13"/>
        <v>0.12496910575666938</v>
      </c>
    </row>
    <row r="27" spans="1:26" s="24" customFormat="1" hidden="1" outlineLevel="2" x14ac:dyDescent="0.3">
      <c r="A27" s="27"/>
      <c r="B27" s="12" t="str">
        <f>CONCATENATE("          ", "6111", " - ", "F.I.C.A.")</f>
        <v xml:space="preserve">          6111 - F.I.C.A.</v>
      </c>
      <c r="C27" s="12"/>
      <c r="D27" s="8">
        <v>1247.51</v>
      </c>
      <c r="E27" s="3"/>
      <c r="F27" s="7">
        <f t="shared" si="6"/>
        <v>0.49273639308002215</v>
      </c>
      <c r="G27" s="3"/>
      <c r="H27" s="8">
        <v>1043.3599999999999</v>
      </c>
      <c r="I27" s="3"/>
      <c r="J27" s="7">
        <f t="shared" si="7"/>
        <v>0.21522029262335829</v>
      </c>
      <c r="K27" s="3"/>
      <c r="L27" s="8">
        <f t="shared" si="8"/>
        <v>204.15000000000009</v>
      </c>
      <c r="M27" s="3"/>
      <c r="N27" s="7">
        <f t="shared" si="9"/>
        <v>0.19566592547155354</v>
      </c>
      <c r="O27" s="12"/>
      <c r="P27" s="8">
        <v>1247.51</v>
      </c>
      <c r="Q27" s="3"/>
      <c r="R27" s="7">
        <f t="shared" si="10"/>
        <v>0.49273639308002215</v>
      </c>
      <c r="S27" s="3"/>
      <c r="T27" s="8">
        <v>1043.3599999999999</v>
      </c>
      <c r="U27" s="3"/>
      <c r="V27" s="7">
        <f t="shared" si="11"/>
        <v>0.21522029262335829</v>
      </c>
      <c r="W27" s="3"/>
      <c r="X27" s="8">
        <f t="shared" si="12"/>
        <v>204.15000000000009</v>
      </c>
      <c r="Y27" s="3"/>
      <c r="Z27" s="7">
        <f t="shared" si="13"/>
        <v>0.19566592547155354</v>
      </c>
    </row>
    <row r="28" spans="1:26" s="24" customFormat="1" hidden="1" outlineLevel="2" x14ac:dyDescent="0.3">
      <c r="A28" s="27"/>
      <c r="B28" s="12" t="str">
        <f>CONCATENATE("          ", "6112", " - ", "COMPENSATION INSURANCE")</f>
        <v xml:space="preserve">          6112 - COMPENSATION INSURANCE</v>
      </c>
      <c r="C28" s="12"/>
      <c r="D28" s="8">
        <v>251.73</v>
      </c>
      <c r="E28" s="3"/>
      <c r="F28" s="7">
        <f t="shared" si="6"/>
        <v>9.9427284935618934E-2</v>
      </c>
      <c r="G28" s="3"/>
      <c r="H28" s="8">
        <v>293.61</v>
      </c>
      <c r="I28" s="3"/>
      <c r="J28" s="7">
        <f t="shared" si="7"/>
        <v>6.056474286645476E-2</v>
      </c>
      <c r="K28" s="3"/>
      <c r="L28" s="8">
        <f t="shared" si="8"/>
        <v>-41.880000000000024</v>
      </c>
      <c r="M28" s="3"/>
      <c r="N28" s="7">
        <f t="shared" si="9"/>
        <v>-0.14263819352201909</v>
      </c>
      <c r="O28" s="12"/>
      <c r="P28" s="8">
        <v>251.73</v>
      </c>
      <c r="Q28" s="3"/>
      <c r="R28" s="7">
        <f t="shared" si="10"/>
        <v>9.9427284935618934E-2</v>
      </c>
      <c r="S28" s="3"/>
      <c r="T28" s="8">
        <v>293.61</v>
      </c>
      <c r="U28" s="3"/>
      <c r="V28" s="7">
        <f t="shared" si="11"/>
        <v>6.056474286645476E-2</v>
      </c>
      <c r="W28" s="3"/>
      <c r="X28" s="8">
        <f t="shared" si="12"/>
        <v>-41.880000000000024</v>
      </c>
      <c r="Y28" s="3"/>
      <c r="Z28" s="7">
        <f t="shared" si="13"/>
        <v>-0.14263819352201909</v>
      </c>
    </row>
    <row r="29" spans="1:26" s="24" customFormat="1" hidden="1" outlineLevel="2" x14ac:dyDescent="0.3">
      <c r="A29" s="27"/>
      <c r="B29" s="12" t="str">
        <f>CONCATENATE("          ", "6113", " - ", "GROUP INSURANCE")</f>
        <v xml:space="preserve">          6113 - GROUP INSURANCE</v>
      </c>
      <c r="C29" s="12"/>
      <c r="D29" s="8">
        <v>3410.23</v>
      </c>
      <c r="E29" s="3"/>
      <c r="F29" s="7">
        <f t="shared" si="6"/>
        <v>1.3469586855201834</v>
      </c>
      <c r="G29" s="3"/>
      <c r="H29" s="8">
        <v>2724.48</v>
      </c>
      <c r="I29" s="3"/>
      <c r="J29" s="7">
        <f t="shared" si="7"/>
        <v>0.56199526802492639</v>
      </c>
      <c r="K29" s="3"/>
      <c r="L29" s="8">
        <f t="shared" si="8"/>
        <v>685.75</v>
      </c>
      <c r="M29" s="3"/>
      <c r="N29" s="7">
        <f t="shared" si="9"/>
        <v>0.2516994068592906</v>
      </c>
      <c r="O29" s="12"/>
      <c r="P29" s="8">
        <v>3410.23</v>
      </c>
      <c r="Q29" s="3"/>
      <c r="R29" s="7">
        <f t="shared" si="10"/>
        <v>1.3469586855201834</v>
      </c>
      <c r="S29" s="3"/>
      <c r="T29" s="8">
        <v>2724.48</v>
      </c>
      <c r="U29" s="3"/>
      <c r="V29" s="7">
        <f t="shared" si="11"/>
        <v>0.56199526802492639</v>
      </c>
      <c r="W29" s="3"/>
      <c r="X29" s="8">
        <f t="shared" si="12"/>
        <v>685.75</v>
      </c>
      <c r="Y29" s="3"/>
      <c r="Z29" s="7">
        <f t="shared" si="13"/>
        <v>0.2516994068592906</v>
      </c>
    </row>
    <row r="30" spans="1:26" s="24" customFormat="1" hidden="1" outlineLevel="2" x14ac:dyDescent="0.3">
      <c r="A30" s="27"/>
      <c r="B30" s="12" t="str">
        <f>CONCATENATE("          ", "6114", " - ", "STATE UNEMPLOYMENT INSURANCE")</f>
        <v xml:space="preserve">          6114 - STATE UNEMPLOYMENT INSURANCE</v>
      </c>
      <c r="C30" s="12"/>
      <c r="D30" s="8">
        <v>44.22</v>
      </c>
      <c r="E30" s="3"/>
      <c r="F30" s="7">
        <f t="shared" si="6"/>
        <v>1.7465834584090373E-2</v>
      </c>
      <c r="G30" s="3"/>
      <c r="H30" s="8">
        <v>41.26</v>
      </c>
      <c r="I30" s="3"/>
      <c r="J30" s="7">
        <f t="shared" si="7"/>
        <v>8.5109542953915839E-3</v>
      </c>
      <c r="K30" s="3"/>
      <c r="L30" s="8">
        <f t="shared" si="8"/>
        <v>2.9600000000000009</v>
      </c>
      <c r="M30" s="3"/>
      <c r="N30" s="7">
        <f t="shared" si="9"/>
        <v>7.1740184197770257E-2</v>
      </c>
      <c r="O30" s="12"/>
      <c r="P30" s="8">
        <v>44.22</v>
      </c>
      <c r="Q30" s="3"/>
      <c r="R30" s="7">
        <f t="shared" si="10"/>
        <v>1.7465834584090373E-2</v>
      </c>
      <c r="S30" s="3"/>
      <c r="T30" s="8">
        <v>41.26</v>
      </c>
      <c r="U30" s="3"/>
      <c r="V30" s="7">
        <f t="shared" si="11"/>
        <v>8.5109542953915839E-3</v>
      </c>
      <c r="W30" s="3"/>
      <c r="X30" s="8">
        <f t="shared" si="12"/>
        <v>2.9600000000000009</v>
      </c>
      <c r="Y30" s="3"/>
      <c r="Z30" s="7">
        <f t="shared" si="13"/>
        <v>7.1740184197770257E-2</v>
      </c>
    </row>
    <row r="31" spans="1:26" s="24" customFormat="1" hidden="1" outlineLevel="2" x14ac:dyDescent="0.3">
      <c r="A31" s="27"/>
      <c r="B31" s="12" t="str">
        <f>CONCATENATE("          ", "6115", " - ", "P.E.R.S.")</f>
        <v xml:space="preserve">          6115 - P.E.R.S.</v>
      </c>
      <c r="C31" s="12"/>
      <c r="D31" s="8">
        <v>1590.79</v>
      </c>
      <c r="E31" s="3"/>
      <c r="F31" s="7">
        <f t="shared" si="6"/>
        <v>0.62832372225294264</v>
      </c>
      <c r="G31" s="3"/>
      <c r="H31" s="8">
        <v>2066.46</v>
      </c>
      <c r="I31" s="3"/>
      <c r="J31" s="7">
        <f t="shared" si="7"/>
        <v>0.42626143027762708</v>
      </c>
      <c r="K31" s="3"/>
      <c r="L31" s="8">
        <f t="shared" si="8"/>
        <v>-475.67000000000007</v>
      </c>
      <c r="M31" s="3"/>
      <c r="N31" s="7">
        <f t="shared" si="9"/>
        <v>-0.23018592181798828</v>
      </c>
      <c r="O31" s="12"/>
      <c r="P31" s="8">
        <v>1590.79</v>
      </c>
      <c r="Q31" s="3"/>
      <c r="R31" s="7">
        <f t="shared" si="10"/>
        <v>0.62832372225294264</v>
      </c>
      <c r="S31" s="3"/>
      <c r="T31" s="8">
        <v>2066.46</v>
      </c>
      <c r="U31" s="3"/>
      <c r="V31" s="7">
        <f t="shared" si="11"/>
        <v>0.42626143027762708</v>
      </c>
      <c r="W31" s="3"/>
      <c r="X31" s="8">
        <f t="shared" si="12"/>
        <v>-475.67000000000007</v>
      </c>
      <c r="Y31" s="3"/>
      <c r="Z31" s="7">
        <f t="shared" si="13"/>
        <v>-0.23018592181798828</v>
      </c>
    </row>
    <row r="32" spans="1:26" s="24" customFormat="1" hidden="1" outlineLevel="2" x14ac:dyDescent="0.3">
      <c r="A32" s="27"/>
      <c r="B32" s="12" t="str">
        <f>CONCATENATE("          ", "6118", " - ", "VACATION")</f>
        <v xml:space="preserve">          6118 - VACATION</v>
      </c>
      <c r="C32" s="12"/>
      <c r="D32" s="8">
        <v>1216.0999999999999</v>
      </c>
      <c r="E32" s="3"/>
      <c r="F32" s="7">
        <f t="shared" si="6"/>
        <v>0.48033019985780867</v>
      </c>
      <c r="G32" s="3"/>
      <c r="H32" s="8">
        <v>978.88</v>
      </c>
      <c r="I32" s="3"/>
      <c r="J32" s="7">
        <f t="shared" si="7"/>
        <v>0.201919605930027</v>
      </c>
      <c r="K32" s="3"/>
      <c r="L32" s="8">
        <f t="shared" si="8"/>
        <v>237.21999999999991</v>
      </c>
      <c r="M32" s="3"/>
      <c r="N32" s="7">
        <f t="shared" si="9"/>
        <v>0.24233818241255303</v>
      </c>
      <c r="O32" s="12"/>
      <c r="P32" s="8">
        <v>1216.0999999999999</v>
      </c>
      <c r="Q32" s="3"/>
      <c r="R32" s="7">
        <f t="shared" si="10"/>
        <v>0.48033019985780867</v>
      </c>
      <c r="S32" s="3"/>
      <c r="T32" s="8">
        <v>978.88</v>
      </c>
      <c r="U32" s="3"/>
      <c r="V32" s="7">
        <f t="shared" si="11"/>
        <v>0.201919605930027</v>
      </c>
      <c r="W32" s="3"/>
      <c r="X32" s="8">
        <f t="shared" si="12"/>
        <v>237.21999999999991</v>
      </c>
      <c r="Y32" s="3"/>
      <c r="Z32" s="7">
        <f t="shared" si="13"/>
        <v>0.24233818241255303</v>
      </c>
    </row>
    <row r="33" spans="1:26" s="24" customFormat="1" hidden="1" outlineLevel="2" x14ac:dyDescent="0.3">
      <c r="A33" s="27"/>
      <c r="B33" s="12" t="str">
        <f>CONCATENATE("          ", "6119", " - ", "SICK LEAVE")</f>
        <v xml:space="preserve">          6119 - SICK LEAVE</v>
      </c>
      <c r="C33" s="12"/>
      <c r="D33" s="8">
        <v>738.5</v>
      </c>
      <c r="E33" s="3"/>
      <c r="F33" s="7">
        <f t="shared" si="6"/>
        <v>0.29168970692787743</v>
      </c>
      <c r="G33" s="3"/>
      <c r="H33" s="8">
        <v>632.52</v>
      </c>
      <c r="I33" s="3"/>
      <c r="J33" s="7">
        <f t="shared" si="7"/>
        <v>0.13047379570821824</v>
      </c>
      <c r="K33" s="3"/>
      <c r="L33" s="8">
        <f t="shared" si="8"/>
        <v>105.98000000000002</v>
      </c>
      <c r="M33" s="3"/>
      <c r="N33" s="7">
        <f t="shared" si="9"/>
        <v>0.16755201416556001</v>
      </c>
      <c r="O33" s="12"/>
      <c r="P33" s="8">
        <v>738.5</v>
      </c>
      <c r="Q33" s="3"/>
      <c r="R33" s="7">
        <f t="shared" si="10"/>
        <v>0.29168970692787743</v>
      </c>
      <c r="S33" s="3"/>
      <c r="T33" s="8">
        <v>632.52</v>
      </c>
      <c r="U33" s="3"/>
      <c r="V33" s="7">
        <f t="shared" si="11"/>
        <v>0.13047379570821824</v>
      </c>
      <c r="W33" s="3"/>
      <c r="X33" s="8">
        <f t="shared" si="12"/>
        <v>105.98000000000002</v>
      </c>
      <c r="Y33" s="3"/>
      <c r="Z33" s="7">
        <f t="shared" si="13"/>
        <v>0.16755201416556001</v>
      </c>
    </row>
    <row r="34" spans="1:26" s="24" customFormat="1" hidden="1" outlineLevel="2" x14ac:dyDescent="0.3">
      <c r="A34" s="27"/>
      <c r="B34" s="12" t="str">
        <f>CONCATENATE("          ", "6156", " - ", "EMPLOYEE MEALS")</f>
        <v xml:space="preserve">          6156 - EMPLOYEE MEALS</v>
      </c>
      <c r="C34" s="12"/>
      <c r="D34" s="8">
        <v>422.24</v>
      </c>
      <c r="E34" s="3"/>
      <c r="F34" s="7">
        <f t="shared" si="6"/>
        <v>0.16677462674776841</v>
      </c>
      <c r="G34" s="3"/>
      <c r="H34" s="8">
        <v>149.71</v>
      </c>
      <c r="I34" s="3"/>
      <c r="J34" s="7">
        <f t="shared" si="7"/>
        <v>3.0881603673365832E-2</v>
      </c>
      <c r="K34" s="3"/>
      <c r="L34" s="8">
        <f t="shared" si="8"/>
        <v>272.52999999999997</v>
      </c>
      <c r="M34" s="3"/>
      <c r="N34" s="7">
        <f t="shared" si="9"/>
        <v>1.8203860797541911</v>
      </c>
      <c r="O34" s="12"/>
      <c r="P34" s="8">
        <v>422.24</v>
      </c>
      <c r="Q34" s="3"/>
      <c r="R34" s="7">
        <f t="shared" si="10"/>
        <v>0.16677462674776841</v>
      </c>
      <c r="S34" s="3"/>
      <c r="T34" s="8">
        <v>149.71</v>
      </c>
      <c r="U34" s="3"/>
      <c r="V34" s="7">
        <f t="shared" si="11"/>
        <v>3.0881603673365832E-2</v>
      </c>
      <c r="W34" s="3"/>
      <c r="X34" s="8">
        <f t="shared" si="12"/>
        <v>272.52999999999997</v>
      </c>
      <c r="Y34" s="3"/>
      <c r="Z34" s="7">
        <f t="shared" si="13"/>
        <v>1.8203860797541911</v>
      </c>
    </row>
    <row r="35" spans="1:26" s="29" customFormat="1" outlineLevel="1" collapsed="1" x14ac:dyDescent="0.3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19441.55</v>
      </c>
      <c r="E35" s="1"/>
      <c r="F35" s="5">
        <f t="shared" ref="F35:F37" si="14">IF(D$12=0,0,D35/D$12)</f>
        <v>7.678943834426101</v>
      </c>
      <c r="G35" s="1"/>
      <c r="H35" s="1">
        <f>SUM(OSRRefH22_1x_0)</f>
        <v>15059.94</v>
      </c>
      <c r="I35" s="1"/>
      <c r="J35" s="5">
        <f t="shared" ref="J35:J37" si="15">IF(H$12=0,0,H35/H$12)</f>
        <v>3.1065065688642641</v>
      </c>
      <c r="K35" s="1"/>
      <c r="L35" s="1">
        <f t="shared" ref="L35:L37" si="16">+D35-H35</f>
        <v>4381.6099999999988</v>
      </c>
      <c r="M35" s="1"/>
      <c r="N35" s="5">
        <f t="shared" ref="N35:N37" si="17">IF(H35=0,0,L35/H35)</f>
        <v>0.29094471823924922</v>
      </c>
      <c r="O35" s="14"/>
      <c r="P35" s="1">
        <f>SUM(OSRRefP22_1x_0)</f>
        <v>19441.55</v>
      </c>
      <c r="Q35" s="1"/>
      <c r="R35" s="5">
        <f t="shared" ref="R35:R37" si="18">IF(P$12=0,0,P35/P$12)</f>
        <v>7.678943834426101</v>
      </c>
      <c r="S35" s="1"/>
      <c r="T35" s="1">
        <f>SUM(OSRRefT22_1x_0)</f>
        <v>15059.94</v>
      </c>
      <c r="U35" s="1"/>
      <c r="V35" s="5">
        <f t="shared" ref="V35:V37" si="19">IF(T$12=0,0,T35/T$12)</f>
        <v>3.1065065688642641</v>
      </c>
      <c r="W35" s="1"/>
      <c r="X35" s="1">
        <f t="shared" ref="X35:X37" si="20">+P35-T35</f>
        <v>4381.6099999999988</v>
      </c>
      <c r="Y35" s="1"/>
      <c r="Z35" s="5">
        <f t="shared" ref="Z35:Z37" si="21">IF(T35=0,0,X35/T35)</f>
        <v>0.29094471823924922</v>
      </c>
    </row>
    <row r="36" spans="1:26" s="24" customFormat="1" hidden="1" outlineLevel="2" x14ac:dyDescent="0.3">
      <c r="A36" s="27"/>
      <c r="B36" s="12" t="str">
        <f>CONCATENATE("          ", "6002", " - ", "STAFF SALARIES")</f>
        <v xml:space="preserve">          6002 - STAFF SALARIES</v>
      </c>
      <c r="C36" s="12"/>
      <c r="D36" s="8">
        <v>18934.05</v>
      </c>
      <c r="E36" s="3"/>
      <c r="F36" s="7">
        <f t="shared" si="14"/>
        <v>7.4784935618927246</v>
      </c>
      <c r="G36" s="3"/>
      <c r="H36" s="8">
        <v>15059.94</v>
      </c>
      <c r="I36" s="3"/>
      <c r="J36" s="7">
        <f t="shared" si="15"/>
        <v>3.1065065688642641</v>
      </c>
      <c r="K36" s="3"/>
      <c r="L36" s="8">
        <f t="shared" si="16"/>
        <v>3874.1099999999988</v>
      </c>
      <c r="M36" s="3"/>
      <c r="N36" s="7">
        <f t="shared" si="17"/>
        <v>0.25724604480495927</v>
      </c>
      <c r="O36" s="12"/>
      <c r="P36" s="8">
        <v>18934.05</v>
      </c>
      <c r="Q36" s="3"/>
      <c r="R36" s="7">
        <f t="shared" si="18"/>
        <v>7.4784935618927246</v>
      </c>
      <c r="S36" s="3"/>
      <c r="T36" s="8">
        <v>15059.94</v>
      </c>
      <c r="U36" s="3"/>
      <c r="V36" s="7">
        <f t="shared" si="19"/>
        <v>3.1065065688642641</v>
      </c>
      <c r="W36" s="3"/>
      <c r="X36" s="8">
        <f t="shared" si="20"/>
        <v>3874.1099999999988</v>
      </c>
      <c r="Y36" s="3"/>
      <c r="Z36" s="7">
        <f t="shared" si="21"/>
        <v>0.25724604480495927</v>
      </c>
    </row>
    <row r="37" spans="1:26" s="24" customFormat="1" hidden="1" outlineLevel="2" x14ac:dyDescent="0.3">
      <c r="A37" s="27"/>
      <c r="B37" s="12" t="str">
        <f>CONCATENATE("          ", "6007", " - ", "STUDENT HOURLY")</f>
        <v xml:space="preserve">          6007 - STUDENT HOURLY</v>
      </c>
      <c r="C37" s="12"/>
      <c r="D37" s="8">
        <v>507.5</v>
      </c>
      <c r="E37" s="3"/>
      <c r="F37" s="7">
        <f t="shared" si="14"/>
        <v>0.2004502725333755</v>
      </c>
      <c r="G37" s="3"/>
      <c r="H37" s="8"/>
      <c r="I37" s="3"/>
      <c r="J37" s="7">
        <f t="shared" si="15"/>
        <v>0</v>
      </c>
      <c r="K37" s="3"/>
      <c r="L37" s="8">
        <f t="shared" si="16"/>
        <v>507.5</v>
      </c>
      <c r="M37" s="3"/>
      <c r="N37" s="7">
        <f t="shared" si="17"/>
        <v>0</v>
      </c>
      <c r="O37" s="12"/>
      <c r="P37" s="8">
        <v>507.5</v>
      </c>
      <c r="Q37" s="3"/>
      <c r="R37" s="7">
        <f t="shared" si="18"/>
        <v>0.2004502725333755</v>
      </c>
      <c r="S37" s="3"/>
      <c r="T37" s="8"/>
      <c r="U37" s="3"/>
      <c r="V37" s="7">
        <f t="shared" si="19"/>
        <v>0</v>
      </c>
      <c r="W37" s="3"/>
      <c r="X37" s="8">
        <f t="shared" si="20"/>
        <v>507.5</v>
      </c>
      <c r="Y37" s="3"/>
      <c r="Z37" s="7">
        <f t="shared" si="21"/>
        <v>0</v>
      </c>
    </row>
    <row r="38" spans="1:26" s="29" customFormat="1" outlineLevel="1" collapsed="1" x14ac:dyDescent="0.3">
      <c r="A38" s="28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SUM(OSRRefD22_2x_0)</f>
        <v>169.88</v>
      </c>
      <c r="E38" s="1"/>
      <c r="F38" s="5">
        <f t="shared" ref="F38:F44" si="22">IF(D$12=0,0,D38/D$12)</f>
        <v>6.7098506991073545E-2</v>
      </c>
      <c r="G38" s="1"/>
      <c r="H38" s="1">
        <f>SUM(OSRRefH22_2x_0)</f>
        <v>169.88</v>
      </c>
      <c r="I38" s="1"/>
      <c r="J38" s="5">
        <f t="shared" ref="J38:J44" si="23">IF(H$12=0,0,H38/H$12)</f>
        <v>3.5042193788199769E-2</v>
      </c>
      <c r="K38" s="1"/>
      <c r="L38" s="1">
        <f t="shared" ref="L38:L44" si="24">+D38-H38</f>
        <v>0</v>
      </c>
      <c r="M38" s="1"/>
      <c r="N38" s="5">
        <f t="shared" ref="N38:N44" si="25">IF(H38=0,0,L38/H38)</f>
        <v>0</v>
      </c>
      <c r="O38" s="14"/>
      <c r="P38" s="1">
        <f>SUM(OSRRefP22_2x_0)</f>
        <v>169.88</v>
      </c>
      <c r="Q38" s="1"/>
      <c r="R38" s="5">
        <f t="shared" ref="R38:R44" si="26">IF(P$12=0,0,P38/P$12)</f>
        <v>6.7098506991073545E-2</v>
      </c>
      <c r="S38" s="1"/>
      <c r="T38" s="1">
        <f>SUM(OSRRefT22_2x_0)</f>
        <v>169.88</v>
      </c>
      <c r="U38" s="1"/>
      <c r="V38" s="5">
        <f t="shared" ref="V38:V44" si="27">IF(T$12=0,0,T38/T$12)</f>
        <v>3.5042193788199769E-2</v>
      </c>
      <c r="W38" s="1"/>
      <c r="X38" s="1">
        <f t="shared" ref="X38:X44" si="28">+P38-T38</f>
        <v>0</v>
      </c>
      <c r="Y38" s="1"/>
      <c r="Z38" s="5">
        <f t="shared" ref="Z38:Z44" si="29">IF(T38=0,0,X38/T38)</f>
        <v>0</v>
      </c>
    </row>
    <row r="39" spans="1:26" s="24" customFormat="1" hidden="1" outlineLevel="2" x14ac:dyDescent="0.3">
      <c r="A39" s="27"/>
      <c r="B39" s="12" t="str">
        <f>CONCATENATE("          ", "6322", " - ", "EQUIPMENT DEPRECIATION EXPENSE")</f>
        <v xml:space="preserve">          6322 - EQUIPMENT DEPRECIATION EXPENSE</v>
      </c>
      <c r="C39" s="12"/>
      <c r="D39" s="8">
        <v>169.88</v>
      </c>
      <c r="E39" s="3"/>
      <c r="F39" s="7">
        <f t="shared" si="22"/>
        <v>6.7098506991073545E-2</v>
      </c>
      <c r="G39" s="3"/>
      <c r="H39" s="8">
        <v>169.88</v>
      </c>
      <c r="I39" s="3"/>
      <c r="J39" s="7">
        <f t="shared" si="23"/>
        <v>3.5042193788199769E-2</v>
      </c>
      <c r="K39" s="3"/>
      <c r="L39" s="8">
        <f t="shared" si="24"/>
        <v>0</v>
      </c>
      <c r="M39" s="3"/>
      <c r="N39" s="7">
        <f t="shared" si="25"/>
        <v>0</v>
      </c>
      <c r="O39" s="12"/>
      <c r="P39" s="8">
        <v>169.88</v>
      </c>
      <c r="Q39" s="3"/>
      <c r="R39" s="7">
        <f t="shared" si="26"/>
        <v>6.7098506991073545E-2</v>
      </c>
      <c r="S39" s="3"/>
      <c r="T39" s="8">
        <v>169.88</v>
      </c>
      <c r="U39" s="3"/>
      <c r="V39" s="7">
        <f t="shared" si="27"/>
        <v>3.5042193788199769E-2</v>
      </c>
      <c r="W39" s="3"/>
      <c r="X39" s="8">
        <f t="shared" si="28"/>
        <v>0</v>
      </c>
      <c r="Y39" s="3"/>
      <c r="Z39" s="7">
        <f t="shared" si="29"/>
        <v>0</v>
      </c>
    </row>
    <row r="40" spans="1:26" s="29" customFormat="1" outlineLevel="1" collapsed="1" x14ac:dyDescent="0.3">
      <c r="A40" s="28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SUM(OSRRefD22_3x_0)</f>
        <v>1205.6400000000001</v>
      </c>
      <c r="E40" s="1"/>
      <c r="F40" s="5">
        <f t="shared" si="22"/>
        <v>0.47619875187613564</v>
      </c>
      <c r="G40" s="1"/>
      <c r="H40" s="1">
        <f>SUM(OSRRefH22_3x_0)</f>
        <v>1205.6400000000001</v>
      </c>
      <c r="I40" s="1"/>
      <c r="J40" s="5">
        <f t="shared" si="23"/>
        <v>0.24869478760775354</v>
      </c>
      <c r="K40" s="1"/>
      <c r="L40" s="1">
        <f t="shared" si="24"/>
        <v>0</v>
      </c>
      <c r="M40" s="1"/>
      <c r="N40" s="5">
        <f t="shared" si="25"/>
        <v>0</v>
      </c>
      <c r="O40" s="14"/>
      <c r="P40" s="1">
        <f>SUM(OSRRefP22_3x_0)</f>
        <v>1205.6400000000001</v>
      </c>
      <c r="Q40" s="1"/>
      <c r="R40" s="5">
        <f t="shared" si="26"/>
        <v>0.47619875187613564</v>
      </c>
      <c r="S40" s="1"/>
      <c r="T40" s="1">
        <f>SUM(OSRRefT22_3x_0)</f>
        <v>1205.6400000000001</v>
      </c>
      <c r="U40" s="1"/>
      <c r="V40" s="5">
        <f t="shared" si="27"/>
        <v>0.24869478760775354</v>
      </c>
      <c r="W40" s="1"/>
      <c r="X40" s="1">
        <f t="shared" si="28"/>
        <v>0</v>
      </c>
      <c r="Y40" s="1"/>
      <c r="Z40" s="5">
        <f t="shared" si="29"/>
        <v>0</v>
      </c>
    </row>
    <row r="41" spans="1:26" s="24" customFormat="1" hidden="1" outlineLevel="2" x14ac:dyDescent="0.3">
      <c r="A41" s="27"/>
      <c r="B41" s="12" t="str">
        <f>CONCATENATE("          ", "6351", " - ", "EQUIPMENT RENTAL")</f>
        <v xml:space="preserve">          6351 - EQUIPMENT RENTAL</v>
      </c>
      <c r="C41" s="12"/>
      <c r="D41" s="8">
        <v>1205.6400000000001</v>
      </c>
      <c r="E41" s="3"/>
      <c r="F41" s="7">
        <f t="shared" si="22"/>
        <v>0.47619875187613564</v>
      </c>
      <c r="G41" s="3"/>
      <c r="H41" s="8">
        <v>1205.6400000000001</v>
      </c>
      <c r="I41" s="3"/>
      <c r="J41" s="7">
        <f t="shared" si="23"/>
        <v>0.24869478760775354</v>
      </c>
      <c r="K41" s="3"/>
      <c r="L41" s="8">
        <f t="shared" si="24"/>
        <v>0</v>
      </c>
      <c r="M41" s="3"/>
      <c r="N41" s="7">
        <f t="shared" si="25"/>
        <v>0</v>
      </c>
      <c r="O41" s="12"/>
      <c r="P41" s="8">
        <v>1205.6400000000001</v>
      </c>
      <c r="Q41" s="3"/>
      <c r="R41" s="7">
        <f t="shared" si="26"/>
        <v>0.47619875187613564</v>
      </c>
      <c r="S41" s="3"/>
      <c r="T41" s="8">
        <v>1205.6400000000001</v>
      </c>
      <c r="U41" s="3"/>
      <c r="V41" s="7">
        <f t="shared" si="27"/>
        <v>0.24869478760775354</v>
      </c>
      <c r="W41" s="3"/>
      <c r="X41" s="8">
        <f t="shared" si="28"/>
        <v>0</v>
      </c>
      <c r="Y41" s="3"/>
      <c r="Z41" s="7">
        <f t="shared" si="29"/>
        <v>0</v>
      </c>
    </row>
    <row r="42" spans="1:26" s="29" customFormat="1" outlineLevel="1" collapsed="1" x14ac:dyDescent="0.3">
      <c r="A42" s="28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SUM(OSRRefD22_4x_0)</f>
        <v>2283.8600000000006</v>
      </c>
      <c r="E42" s="1"/>
      <c r="F42" s="5">
        <f t="shared" si="22"/>
        <v>0.90206967374990155</v>
      </c>
      <c r="G42" s="1"/>
      <c r="H42" s="1">
        <f>SUM(OSRRefH22_4x_0)</f>
        <v>8744.76</v>
      </c>
      <c r="I42" s="1"/>
      <c r="J42" s="5">
        <f t="shared" si="23"/>
        <v>1.8038354988892029</v>
      </c>
      <c r="K42" s="1"/>
      <c r="L42" s="1">
        <f t="shared" si="24"/>
        <v>-6460.9</v>
      </c>
      <c r="M42" s="1"/>
      <c r="N42" s="5">
        <f t="shared" si="25"/>
        <v>-0.73883102566565573</v>
      </c>
      <c r="O42" s="14"/>
      <c r="P42" s="1">
        <f>SUM(OSRRefP22_4x_0)</f>
        <v>2283.8600000000006</v>
      </c>
      <c r="Q42" s="1"/>
      <c r="R42" s="5">
        <f t="shared" si="26"/>
        <v>0.90206967374990155</v>
      </c>
      <c r="S42" s="1"/>
      <c r="T42" s="1">
        <f>SUM(OSRRefT22_4x_0)</f>
        <v>8744.76</v>
      </c>
      <c r="U42" s="1"/>
      <c r="V42" s="5">
        <f t="shared" si="27"/>
        <v>1.8038354988892029</v>
      </c>
      <c r="W42" s="1"/>
      <c r="X42" s="1">
        <f t="shared" si="28"/>
        <v>-6460.9</v>
      </c>
      <c r="Y42" s="1"/>
      <c r="Z42" s="5">
        <f t="shared" si="29"/>
        <v>-0.73883102566565573</v>
      </c>
    </row>
    <row r="43" spans="1:26" s="24" customFormat="1" hidden="1" outlineLevel="2" x14ac:dyDescent="0.3">
      <c r="A43" s="27"/>
      <c r="B43" s="12" t="str">
        <f>CONCATENATE("          ", "6305", " - ", "FREIGHT OUT")</f>
        <v xml:space="preserve">          6305 - FREIGHT OUT</v>
      </c>
      <c r="C43" s="12"/>
      <c r="D43" s="8">
        <v>9911.1200000000008</v>
      </c>
      <c r="E43" s="3"/>
      <c r="F43" s="7">
        <f t="shared" si="22"/>
        <v>3.914653606130027</v>
      </c>
      <c r="G43" s="3"/>
      <c r="H43" s="8">
        <v>11905.2</v>
      </c>
      <c r="I43" s="3"/>
      <c r="J43" s="7">
        <f t="shared" si="23"/>
        <v>2.4557589209281603</v>
      </c>
      <c r="K43" s="3"/>
      <c r="L43" s="8">
        <f t="shared" si="24"/>
        <v>-1994.08</v>
      </c>
      <c r="M43" s="3"/>
      <c r="N43" s="7">
        <f t="shared" si="25"/>
        <v>-0.16749655612673453</v>
      </c>
      <c r="O43" s="12"/>
      <c r="P43" s="8">
        <v>9911.1200000000008</v>
      </c>
      <c r="Q43" s="3"/>
      <c r="R43" s="7">
        <f t="shared" si="26"/>
        <v>3.914653606130027</v>
      </c>
      <c r="S43" s="3"/>
      <c r="T43" s="8">
        <v>11905.2</v>
      </c>
      <c r="U43" s="3"/>
      <c r="V43" s="7">
        <f t="shared" si="27"/>
        <v>2.4557589209281603</v>
      </c>
      <c r="W43" s="3"/>
      <c r="X43" s="8">
        <f t="shared" si="28"/>
        <v>-1994.08</v>
      </c>
      <c r="Y43" s="3"/>
      <c r="Z43" s="7">
        <f t="shared" si="29"/>
        <v>-0.16749655612673453</v>
      </c>
    </row>
    <row r="44" spans="1:26" s="24" customFormat="1" hidden="1" outlineLevel="2" x14ac:dyDescent="0.3">
      <c r="A44" s="27"/>
      <c r="B44" s="12" t="str">
        <f>CONCATENATE("          ", "6307", " - ", "POSTAGE")</f>
        <v xml:space="preserve">          6307 - POSTAGE</v>
      </c>
      <c r="C44" s="12"/>
      <c r="D44" s="8">
        <v>-7627.26</v>
      </c>
      <c r="E44" s="3"/>
      <c r="F44" s="7">
        <f t="shared" si="22"/>
        <v>-3.0125839323801253</v>
      </c>
      <c r="G44" s="3"/>
      <c r="H44" s="8">
        <v>-3160.44</v>
      </c>
      <c r="I44" s="3"/>
      <c r="J44" s="7">
        <f t="shared" si="23"/>
        <v>-0.65192342203895737</v>
      </c>
      <c r="K44" s="3"/>
      <c r="L44" s="8">
        <f t="shared" si="24"/>
        <v>-4466.82</v>
      </c>
      <c r="M44" s="3"/>
      <c r="N44" s="7">
        <f t="shared" si="25"/>
        <v>1.4133538368075329</v>
      </c>
      <c r="O44" s="12"/>
      <c r="P44" s="8">
        <v>-7627.26</v>
      </c>
      <c r="Q44" s="3"/>
      <c r="R44" s="7">
        <f t="shared" si="26"/>
        <v>-3.0125839323801253</v>
      </c>
      <c r="S44" s="3"/>
      <c r="T44" s="8">
        <v>-3160.44</v>
      </c>
      <c r="U44" s="3"/>
      <c r="V44" s="7">
        <f t="shared" si="27"/>
        <v>-0.65192342203895737</v>
      </c>
      <c r="W44" s="3"/>
      <c r="X44" s="8">
        <f t="shared" si="28"/>
        <v>-4466.82</v>
      </c>
      <c r="Y44" s="3"/>
      <c r="Z44" s="7">
        <f t="shared" si="29"/>
        <v>1.4133538368075329</v>
      </c>
    </row>
    <row r="45" spans="1:26" s="29" customFormat="1" outlineLevel="1" collapsed="1" x14ac:dyDescent="0.3">
      <c r="A45" s="28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SUM(OSRRefD22_5x_0)</f>
        <v>2345.98</v>
      </c>
      <c r="E45" s="1"/>
      <c r="F45" s="5">
        <f t="shared" ref="F45:F47" si="30">IF(D$12=0,0,D45/D$12)</f>
        <v>0.92660557705979951</v>
      </c>
      <c r="G45" s="1"/>
      <c r="H45" s="1">
        <f>SUM(OSRRefH22_5x_0)</f>
        <v>6378.1</v>
      </c>
      <c r="I45" s="1"/>
      <c r="J45" s="5">
        <f t="shared" ref="J45:J47" si="31">IF(H$12=0,0,H45/H$12)</f>
        <v>1.3156499658612959</v>
      </c>
      <c r="K45" s="1"/>
      <c r="L45" s="1">
        <f t="shared" ref="L45:L47" si="32">+D45-H45</f>
        <v>-4032.1200000000003</v>
      </c>
      <c r="M45" s="1"/>
      <c r="N45" s="5">
        <f t="shared" ref="N45:N47" si="33">IF(H45=0,0,L45/H45)</f>
        <v>-0.63218199777363171</v>
      </c>
      <c r="O45" s="14"/>
      <c r="P45" s="1">
        <f>SUM(OSRRefP22_5x_0)</f>
        <v>2345.98</v>
      </c>
      <c r="Q45" s="1"/>
      <c r="R45" s="5">
        <f t="shared" ref="R45:R47" si="34">IF(P$12=0,0,P45/P$12)</f>
        <v>0.92660557705979951</v>
      </c>
      <c r="S45" s="1"/>
      <c r="T45" s="1">
        <f>SUM(OSRRefT22_5x_0)</f>
        <v>6378.1</v>
      </c>
      <c r="U45" s="1"/>
      <c r="V45" s="5">
        <f t="shared" ref="V45:V47" si="35">IF(T$12=0,0,T45/T$12)</f>
        <v>1.3156499658612959</v>
      </c>
      <c r="W45" s="1"/>
      <c r="X45" s="1">
        <f t="shared" ref="X45:X47" si="36">+P45-T45</f>
        <v>-4032.1200000000003</v>
      </c>
      <c r="Y45" s="1"/>
      <c r="Z45" s="5">
        <f t="shared" ref="Z45:Z47" si="37">IF(T45=0,0,X45/T45)</f>
        <v>-0.63218199777363171</v>
      </c>
    </row>
    <row r="46" spans="1:26" s="24" customFormat="1" hidden="1" outlineLevel="2" x14ac:dyDescent="0.3">
      <c r="A46" s="27"/>
      <c r="B46" s="12" t="str">
        <f>CONCATENATE("          ", "6373", " - ", "MAINTENANCE CONTRACTS")</f>
        <v xml:space="preserve">          6373 - MAINTENANCE CONTRACTS</v>
      </c>
      <c r="C46" s="12"/>
      <c r="D46" s="8">
        <v>625.34</v>
      </c>
      <c r="E46" s="3"/>
      <c r="F46" s="7">
        <f t="shared" si="30"/>
        <v>0.24699423335176557</v>
      </c>
      <c r="G46" s="3"/>
      <c r="H46" s="8">
        <v>6378.1</v>
      </c>
      <c r="I46" s="3"/>
      <c r="J46" s="7">
        <f t="shared" si="31"/>
        <v>1.3156499658612959</v>
      </c>
      <c r="K46" s="3"/>
      <c r="L46" s="8">
        <f t="shared" si="32"/>
        <v>-5752.76</v>
      </c>
      <c r="M46" s="3"/>
      <c r="N46" s="7">
        <f t="shared" si="33"/>
        <v>-0.90195512770260733</v>
      </c>
      <c r="O46" s="12"/>
      <c r="P46" s="8">
        <v>625.34</v>
      </c>
      <c r="Q46" s="3"/>
      <c r="R46" s="7">
        <f t="shared" si="34"/>
        <v>0.24699423335176557</v>
      </c>
      <c r="S46" s="3"/>
      <c r="T46" s="8">
        <v>6378.1</v>
      </c>
      <c r="U46" s="3"/>
      <c r="V46" s="7">
        <f t="shared" si="35"/>
        <v>1.3156499658612959</v>
      </c>
      <c r="W46" s="3"/>
      <c r="X46" s="8">
        <f t="shared" si="36"/>
        <v>-5752.76</v>
      </c>
      <c r="Y46" s="3"/>
      <c r="Z46" s="7">
        <f t="shared" si="37"/>
        <v>-0.90195512770260733</v>
      </c>
    </row>
    <row r="47" spans="1:26" s="24" customFormat="1" hidden="1" outlineLevel="2" x14ac:dyDescent="0.3">
      <c r="A47" s="27"/>
      <c r="B47" s="12" t="str">
        <f>CONCATENATE("          ", "6375", " - ", "OUTSIDE REPAIRS &amp; MAINTENANCE")</f>
        <v xml:space="preserve">          6375 - OUTSIDE REPAIRS &amp; MAINTENANCE</v>
      </c>
      <c r="C47" s="12"/>
      <c r="D47" s="8">
        <v>1720.64</v>
      </c>
      <c r="E47" s="3"/>
      <c r="F47" s="7">
        <f t="shared" si="30"/>
        <v>0.67961134370803389</v>
      </c>
      <c r="G47" s="3"/>
      <c r="H47" s="8"/>
      <c r="I47" s="3"/>
      <c r="J47" s="7">
        <f t="shared" si="31"/>
        <v>0</v>
      </c>
      <c r="K47" s="3"/>
      <c r="L47" s="8">
        <f t="shared" si="32"/>
        <v>1720.64</v>
      </c>
      <c r="M47" s="3"/>
      <c r="N47" s="7">
        <f t="shared" si="33"/>
        <v>0</v>
      </c>
      <c r="O47" s="12"/>
      <c r="P47" s="8">
        <v>1720.64</v>
      </c>
      <c r="Q47" s="3"/>
      <c r="R47" s="7">
        <f t="shared" si="34"/>
        <v>0.67961134370803389</v>
      </c>
      <c r="S47" s="3"/>
      <c r="T47" s="8"/>
      <c r="U47" s="3"/>
      <c r="V47" s="7">
        <f t="shared" si="35"/>
        <v>0</v>
      </c>
      <c r="W47" s="3"/>
      <c r="X47" s="8">
        <f t="shared" si="36"/>
        <v>1720.64</v>
      </c>
      <c r="Y47" s="3"/>
      <c r="Z47" s="7">
        <f t="shared" si="37"/>
        <v>0</v>
      </c>
    </row>
    <row r="48" spans="1:26" s="29" customFormat="1" outlineLevel="1" collapsed="1" x14ac:dyDescent="0.3">
      <c r="A48" s="28"/>
      <c r="B48" s="14" t="str">
        <f>CONCATENATE("     ","Royalty &amp; Commissions                             ")</f>
        <v xml:space="preserve">     Royalty &amp; Commissions                             </v>
      </c>
      <c r="C48" s="14"/>
      <c r="D48" s="1">
        <f>SUM(OSRRefD22_6x_0)</f>
        <v>6.06</v>
      </c>
      <c r="E48" s="1"/>
      <c r="F48" s="5">
        <f t="shared" ref="F48:F55" si="38">IF(D$12=0,0,D48/D$12)</f>
        <v>2.3935539932064143E-3</v>
      </c>
      <c r="G48" s="1"/>
      <c r="H48" s="1">
        <f>SUM(OSRRefH22_6x_0)</f>
        <v>5317.55</v>
      </c>
      <c r="I48" s="1"/>
      <c r="J48" s="5">
        <f t="shared" ref="J48:J55" si="39">IF(H$12=0,0,H48/H$12)</f>
        <v>1.0968837860751217</v>
      </c>
      <c r="K48" s="1"/>
      <c r="L48" s="1">
        <f t="shared" ref="L48:L55" si="40">+D48-H48</f>
        <v>-5311.49</v>
      </c>
      <c r="M48" s="1"/>
      <c r="N48" s="5">
        <f t="shared" ref="N48:N55" si="41">IF(H48=0,0,L48/H48)</f>
        <v>-0.99886037742945522</v>
      </c>
      <c r="O48" s="14"/>
      <c r="P48" s="1">
        <f>SUM(OSRRefP22_6x_0)</f>
        <v>6.06</v>
      </c>
      <c r="Q48" s="1"/>
      <c r="R48" s="5">
        <f t="shared" ref="R48:R55" si="42">IF(P$12=0,0,P48/P$12)</f>
        <v>2.3935539932064143E-3</v>
      </c>
      <c r="S48" s="1"/>
      <c r="T48" s="1">
        <f>SUM(OSRRefT22_6x_0)</f>
        <v>5317.55</v>
      </c>
      <c r="U48" s="1"/>
      <c r="V48" s="5">
        <f t="shared" ref="V48:V55" si="43">IF(T$12=0,0,T48/T$12)</f>
        <v>1.0968837860751217</v>
      </c>
      <c r="W48" s="1"/>
      <c r="X48" s="1">
        <f t="shared" ref="X48:X55" si="44">+P48-T48</f>
        <v>-5311.49</v>
      </c>
      <c r="Y48" s="1"/>
      <c r="Z48" s="5">
        <f t="shared" ref="Z48:Z55" si="45">IF(T48=0,0,X48/T48)</f>
        <v>-0.99886037742945522</v>
      </c>
    </row>
    <row r="49" spans="1:26" s="24" customFormat="1" hidden="1" outlineLevel="2" x14ac:dyDescent="0.3">
      <c r="A49" s="27"/>
      <c r="B49" s="12" t="str">
        <f>CONCATENATE("          ", "6259", " - ", "ROYALTY &amp; COMMISSIONS")</f>
        <v xml:space="preserve">          6259 - ROYALTY &amp; COMMISSIONS</v>
      </c>
      <c r="C49" s="12"/>
      <c r="D49" s="8">
        <v>6.06</v>
      </c>
      <c r="E49" s="3"/>
      <c r="F49" s="7">
        <f t="shared" si="38"/>
        <v>2.3935539932064143E-3</v>
      </c>
      <c r="G49" s="3"/>
      <c r="H49" s="8">
        <v>5317.55</v>
      </c>
      <c r="I49" s="3"/>
      <c r="J49" s="7">
        <f t="shared" si="39"/>
        <v>1.0968837860751217</v>
      </c>
      <c r="K49" s="3"/>
      <c r="L49" s="8">
        <f t="shared" si="40"/>
        <v>-5311.49</v>
      </c>
      <c r="M49" s="3"/>
      <c r="N49" s="7">
        <f t="shared" si="41"/>
        <v>-0.99886037742945522</v>
      </c>
      <c r="O49" s="12"/>
      <c r="P49" s="8">
        <v>6.06</v>
      </c>
      <c r="Q49" s="3"/>
      <c r="R49" s="7">
        <f t="shared" si="42"/>
        <v>2.3935539932064143E-3</v>
      </c>
      <c r="S49" s="3"/>
      <c r="T49" s="8">
        <v>5317.55</v>
      </c>
      <c r="U49" s="3"/>
      <c r="V49" s="7">
        <f t="shared" si="43"/>
        <v>1.0968837860751217</v>
      </c>
      <c r="W49" s="3"/>
      <c r="X49" s="8">
        <f t="shared" si="44"/>
        <v>-5311.49</v>
      </c>
      <c r="Y49" s="3"/>
      <c r="Z49" s="7">
        <f t="shared" si="45"/>
        <v>-0.99886037742945522</v>
      </c>
    </row>
    <row r="50" spans="1:26" s="29" customFormat="1" outlineLevel="1" collapsed="1" x14ac:dyDescent="0.3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3116.79</v>
      </c>
      <c r="E50" s="1"/>
      <c r="F50" s="5">
        <f t="shared" si="38"/>
        <v>1.2310569555257131</v>
      </c>
      <c r="G50" s="1"/>
      <c r="H50" s="1">
        <f>SUM(OSRRefH22_7x_0)</f>
        <v>4147.8</v>
      </c>
      <c r="I50" s="1"/>
      <c r="J50" s="5">
        <f t="shared" si="39"/>
        <v>0.85559224979217685</v>
      </c>
      <c r="K50" s="1"/>
      <c r="L50" s="1">
        <f t="shared" si="40"/>
        <v>-1031.0100000000002</v>
      </c>
      <c r="M50" s="1"/>
      <c r="N50" s="5">
        <f t="shared" si="41"/>
        <v>-0.2485679155214813</v>
      </c>
      <c r="O50" s="14"/>
      <c r="P50" s="1">
        <f>SUM(OSRRefP22_7x_0)</f>
        <v>3116.79</v>
      </c>
      <c r="Q50" s="1"/>
      <c r="R50" s="5">
        <f t="shared" si="42"/>
        <v>1.2310569555257131</v>
      </c>
      <c r="S50" s="1"/>
      <c r="T50" s="1">
        <f>SUM(OSRRefT22_7x_0)</f>
        <v>4147.8</v>
      </c>
      <c r="U50" s="1"/>
      <c r="V50" s="5">
        <f t="shared" si="43"/>
        <v>0.85559224979217685</v>
      </c>
      <c r="W50" s="1"/>
      <c r="X50" s="1">
        <f t="shared" si="44"/>
        <v>-1031.0100000000002</v>
      </c>
      <c r="Y50" s="1"/>
      <c r="Z50" s="5">
        <f t="shared" si="45"/>
        <v>-0.2485679155214813</v>
      </c>
    </row>
    <row r="51" spans="1:26" s="24" customFormat="1" hidden="1" outlineLevel="2" x14ac:dyDescent="0.3">
      <c r="A51" s="27"/>
      <c r="B51" s="12" t="str">
        <f>CONCATENATE("          ", "6235", " - ", "COVID-19 EXPENSES")</f>
        <v xml:space="preserve">          6235 - COVID-19 EXPENSES</v>
      </c>
      <c r="C51" s="12"/>
      <c r="D51" s="8"/>
      <c r="E51" s="3"/>
      <c r="F51" s="7">
        <f t="shared" si="38"/>
        <v>0</v>
      </c>
      <c r="G51" s="3"/>
      <c r="H51" s="8">
        <v>310.91000000000003</v>
      </c>
      <c r="I51" s="3"/>
      <c r="J51" s="7">
        <f t="shared" si="39"/>
        <v>6.4133320406694075E-2</v>
      </c>
      <c r="K51" s="3"/>
      <c r="L51" s="8">
        <f t="shared" si="40"/>
        <v>-310.91000000000003</v>
      </c>
      <c r="M51" s="3"/>
      <c r="N51" s="7">
        <f t="shared" si="41"/>
        <v>-1</v>
      </c>
      <c r="O51" s="12"/>
      <c r="P51" s="8"/>
      <c r="Q51" s="3"/>
      <c r="R51" s="7">
        <f t="shared" si="42"/>
        <v>0</v>
      </c>
      <c r="S51" s="3"/>
      <c r="T51" s="8">
        <v>310.91000000000003</v>
      </c>
      <c r="U51" s="3"/>
      <c r="V51" s="7">
        <f t="shared" si="43"/>
        <v>6.4133320406694075E-2</v>
      </c>
      <c r="W51" s="3"/>
      <c r="X51" s="8">
        <f t="shared" si="44"/>
        <v>-310.91000000000003</v>
      </c>
      <c r="Y51" s="3"/>
      <c r="Z51" s="7">
        <f t="shared" si="45"/>
        <v>-1</v>
      </c>
    </row>
    <row r="52" spans="1:26" s="24" customFormat="1" hidden="1" outlineLevel="2" x14ac:dyDescent="0.3">
      <c r="A52" s="27"/>
      <c r="B52" s="12" t="str">
        <f>CONCATENATE("          ", "6241", " - ", "OFFICE EXPENSE")</f>
        <v xml:space="preserve">          6241 - OFFICE EXPENSE</v>
      </c>
      <c r="C52" s="12"/>
      <c r="D52" s="8">
        <v>153.85</v>
      </c>
      <c r="E52" s="3"/>
      <c r="F52" s="7">
        <f t="shared" si="38"/>
        <v>6.076704321036417E-2</v>
      </c>
      <c r="G52" s="3"/>
      <c r="H52" s="8"/>
      <c r="I52" s="3"/>
      <c r="J52" s="7">
        <f t="shared" si="39"/>
        <v>0</v>
      </c>
      <c r="K52" s="3"/>
      <c r="L52" s="8">
        <f t="shared" si="40"/>
        <v>153.85</v>
      </c>
      <c r="M52" s="3"/>
      <c r="N52" s="7">
        <f t="shared" si="41"/>
        <v>0</v>
      </c>
      <c r="O52" s="12"/>
      <c r="P52" s="8">
        <v>153.85</v>
      </c>
      <c r="Q52" s="3"/>
      <c r="R52" s="7">
        <f t="shared" si="42"/>
        <v>6.076704321036417E-2</v>
      </c>
      <c r="S52" s="3"/>
      <c r="T52" s="8"/>
      <c r="U52" s="3"/>
      <c r="V52" s="7">
        <f t="shared" si="43"/>
        <v>0</v>
      </c>
      <c r="W52" s="3"/>
      <c r="X52" s="8">
        <f t="shared" si="44"/>
        <v>153.85</v>
      </c>
      <c r="Y52" s="3"/>
      <c r="Z52" s="7">
        <f t="shared" si="45"/>
        <v>0</v>
      </c>
    </row>
    <row r="53" spans="1:26" s="24" customFormat="1" hidden="1" outlineLevel="2" x14ac:dyDescent="0.3">
      <c r="A53" s="27"/>
      <c r="B53" s="12" t="str">
        <f>CONCATENATE("          ", "6243", " - ", "PAPER SUPPLIES")</f>
        <v xml:space="preserve">          6243 - PAPER SUPPLIES</v>
      </c>
      <c r="C53" s="12"/>
      <c r="D53" s="8">
        <v>1649.24</v>
      </c>
      <c r="E53" s="3"/>
      <c r="F53" s="7">
        <f t="shared" si="38"/>
        <v>0.65141006398609691</v>
      </c>
      <c r="G53" s="3"/>
      <c r="H53" s="8">
        <v>1080</v>
      </c>
      <c r="I53" s="3"/>
      <c r="J53" s="7">
        <f t="shared" si="39"/>
        <v>0.22277825106696345</v>
      </c>
      <c r="K53" s="3"/>
      <c r="L53" s="8">
        <f t="shared" si="40"/>
        <v>569.24</v>
      </c>
      <c r="M53" s="3"/>
      <c r="N53" s="7">
        <f t="shared" si="41"/>
        <v>0.52707407407407403</v>
      </c>
      <c r="O53" s="12"/>
      <c r="P53" s="8">
        <v>1649.24</v>
      </c>
      <c r="Q53" s="3"/>
      <c r="R53" s="7">
        <f t="shared" si="42"/>
        <v>0.65141006398609691</v>
      </c>
      <c r="S53" s="3"/>
      <c r="T53" s="8">
        <v>1080</v>
      </c>
      <c r="U53" s="3"/>
      <c r="V53" s="7">
        <f t="shared" si="43"/>
        <v>0.22277825106696345</v>
      </c>
      <c r="W53" s="3"/>
      <c r="X53" s="8">
        <f t="shared" si="44"/>
        <v>569.24</v>
      </c>
      <c r="Y53" s="3"/>
      <c r="Z53" s="7">
        <f t="shared" si="45"/>
        <v>0.52707407407407403</v>
      </c>
    </row>
    <row r="54" spans="1:26" s="24" customFormat="1" hidden="1" outlineLevel="2" x14ac:dyDescent="0.3">
      <c r="A54" s="27"/>
      <c r="B54" s="12" t="str">
        <f>CONCATENATE("          ", "6245", " - ", "PRINTING")</f>
        <v xml:space="preserve">          6245 - PRINTING</v>
      </c>
      <c r="C54" s="12"/>
      <c r="D54" s="8">
        <v>251.64</v>
      </c>
      <c r="E54" s="3"/>
      <c r="F54" s="7">
        <f t="shared" si="38"/>
        <v>9.9391737104036662E-2</v>
      </c>
      <c r="G54" s="3"/>
      <c r="H54" s="8">
        <v>-1543.5</v>
      </c>
      <c r="I54" s="3"/>
      <c r="J54" s="7">
        <f t="shared" si="39"/>
        <v>-0.31838725048320193</v>
      </c>
      <c r="K54" s="3"/>
      <c r="L54" s="8">
        <f t="shared" si="40"/>
        <v>1795.1399999999999</v>
      </c>
      <c r="M54" s="3"/>
      <c r="N54" s="7">
        <f t="shared" si="41"/>
        <v>-1.1630320699708454</v>
      </c>
      <c r="O54" s="12"/>
      <c r="P54" s="8">
        <v>251.64</v>
      </c>
      <c r="Q54" s="3"/>
      <c r="R54" s="7">
        <f t="shared" si="42"/>
        <v>9.9391737104036662E-2</v>
      </c>
      <c r="S54" s="3"/>
      <c r="T54" s="8">
        <v>-1543.5</v>
      </c>
      <c r="U54" s="3"/>
      <c r="V54" s="7">
        <f t="shared" si="43"/>
        <v>-0.31838725048320193</v>
      </c>
      <c r="W54" s="3"/>
      <c r="X54" s="8">
        <f t="shared" si="44"/>
        <v>1795.1399999999999</v>
      </c>
      <c r="Y54" s="3"/>
      <c r="Z54" s="7">
        <f t="shared" si="45"/>
        <v>-1.1630320699708454</v>
      </c>
    </row>
    <row r="55" spans="1:26" s="24" customFormat="1" hidden="1" outlineLevel="2" x14ac:dyDescent="0.3">
      <c r="A55" s="27"/>
      <c r="B55" s="12" t="str">
        <f>CONCATENATE("          ", "6247", " - ", "STORE SUPPLIES")</f>
        <v xml:space="preserve">          6247 - STORE SUPPLIES</v>
      </c>
      <c r="C55" s="12"/>
      <c r="D55" s="8">
        <v>1062.06</v>
      </c>
      <c r="E55" s="3"/>
      <c r="F55" s="7">
        <f t="shared" si="38"/>
        <v>0.41948811122521529</v>
      </c>
      <c r="G55" s="3"/>
      <c r="H55" s="8">
        <v>4300.3900000000003</v>
      </c>
      <c r="I55" s="3"/>
      <c r="J55" s="7">
        <f t="shared" si="39"/>
        <v>0.88706792880172125</v>
      </c>
      <c r="K55" s="3"/>
      <c r="L55" s="8">
        <f t="shared" si="40"/>
        <v>-3238.3300000000004</v>
      </c>
      <c r="M55" s="3"/>
      <c r="N55" s="7">
        <f t="shared" si="41"/>
        <v>-0.75303170177588552</v>
      </c>
      <c r="O55" s="12"/>
      <c r="P55" s="8">
        <v>1062.06</v>
      </c>
      <c r="Q55" s="3"/>
      <c r="R55" s="7">
        <f t="shared" si="42"/>
        <v>0.41948811122521529</v>
      </c>
      <c r="S55" s="3"/>
      <c r="T55" s="8">
        <v>4300.3900000000003</v>
      </c>
      <c r="U55" s="3"/>
      <c r="V55" s="7">
        <f t="shared" si="43"/>
        <v>0.88706792880172125</v>
      </c>
      <c r="W55" s="3"/>
      <c r="X55" s="8">
        <f t="shared" si="44"/>
        <v>-3238.3300000000004</v>
      </c>
      <c r="Y55" s="3"/>
      <c r="Z55" s="7">
        <f t="shared" si="45"/>
        <v>-0.75303170177588552</v>
      </c>
    </row>
    <row r="56" spans="1:26" s="29" customFormat="1" outlineLevel="1" collapsed="1" x14ac:dyDescent="0.3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SUM(OSRRefD22_8x_0)</f>
        <v>167.8</v>
      </c>
      <c r="E56" s="1"/>
      <c r="F56" s="5">
        <f t="shared" ref="F56:F57" si="46">IF(D$12=0,0,D56/D$12)</f>
        <v>6.6276957105616568E-2</v>
      </c>
      <c r="G56" s="1"/>
      <c r="H56" s="1">
        <f>SUM(OSRRefH22_8x_0)</f>
        <v>200</v>
      </c>
      <c r="I56" s="1"/>
      <c r="J56" s="5">
        <f t="shared" ref="J56:J57" si="47">IF(H$12=0,0,H56/H$12)</f>
        <v>4.1255231679067306E-2</v>
      </c>
      <c r="K56" s="1"/>
      <c r="L56" s="1">
        <f t="shared" ref="L56:L57" si="48">+D56-H56</f>
        <v>-32.199999999999989</v>
      </c>
      <c r="M56" s="1"/>
      <c r="N56" s="5">
        <f t="shared" ref="N56:N57" si="49">IF(H56=0,0,L56/H56)</f>
        <v>-0.16099999999999995</v>
      </c>
      <c r="O56" s="14"/>
      <c r="P56" s="1">
        <f>SUM(OSRRefP22_8x_0)</f>
        <v>167.8</v>
      </c>
      <c r="Q56" s="1"/>
      <c r="R56" s="5">
        <f t="shared" ref="R56:R57" si="50">IF(P$12=0,0,P56/P$12)</f>
        <v>6.6276957105616568E-2</v>
      </c>
      <c r="S56" s="1"/>
      <c r="T56" s="1">
        <f>SUM(OSRRefT22_8x_0)</f>
        <v>200</v>
      </c>
      <c r="U56" s="1"/>
      <c r="V56" s="5">
        <f t="shared" ref="V56:V57" si="51">IF(T$12=0,0,T56/T$12)</f>
        <v>4.1255231679067306E-2</v>
      </c>
      <c r="W56" s="1"/>
      <c r="X56" s="1">
        <f t="shared" ref="X56:X57" si="52">+P56-T56</f>
        <v>-32.199999999999989</v>
      </c>
      <c r="Y56" s="1"/>
      <c r="Z56" s="5">
        <f t="shared" ref="Z56:Z57" si="53">IF(T56=0,0,X56/T56)</f>
        <v>-0.16099999999999995</v>
      </c>
    </row>
    <row r="57" spans="1:26" s="24" customFormat="1" hidden="1" outlineLevel="2" x14ac:dyDescent="0.3">
      <c r="A57" s="27"/>
      <c r="B57" s="12" t="str">
        <f>CONCATENATE("          ", "6309", " - ", "TELEPHONE")</f>
        <v xml:space="preserve">          6309 - TELEPHONE</v>
      </c>
      <c r="C57" s="12"/>
      <c r="D57" s="8">
        <v>167.8</v>
      </c>
      <c r="E57" s="3"/>
      <c r="F57" s="7">
        <f t="shared" si="46"/>
        <v>6.6276957105616568E-2</v>
      </c>
      <c r="G57" s="3"/>
      <c r="H57" s="8">
        <v>200</v>
      </c>
      <c r="I57" s="3"/>
      <c r="J57" s="7">
        <f t="shared" si="47"/>
        <v>4.1255231679067306E-2</v>
      </c>
      <c r="K57" s="3"/>
      <c r="L57" s="8">
        <f t="shared" si="48"/>
        <v>-32.199999999999989</v>
      </c>
      <c r="M57" s="3"/>
      <c r="N57" s="7">
        <f t="shared" si="49"/>
        <v>-0.16099999999999995</v>
      </c>
      <c r="O57" s="12"/>
      <c r="P57" s="8">
        <v>167.8</v>
      </c>
      <c r="Q57" s="3"/>
      <c r="R57" s="7">
        <f t="shared" si="50"/>
        <v>6.6276957105616568E-2</v>
      </c>
      <c r="S57" s="3"/>
      <c r="T57" s="8">
        <v>200</v>
      </c>
      <c r="U57" s="3"/>
      <c r="V57" s="7">
        <f t="shared" si="51"/>
        <v>4.1255231679067306E-2</v>
      </c>
      <c r="W57" s="3"/>
      <c r="X57" s="8">
        <f t="shared" si="52"/>
        <v>-32.199999999999989</v>
      </c>
      <c r="Y57" s="3"/>
      <c r="Z57" s="7">
        <f t="shared" si="53"/>
        <v>-0.16099999999999995</v>
      </c>
    </row>
    <row r="58" spans="1:26" s="53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3">
      <c r="A59" s="10"/>
      <c r="B59" s="25" t="s">
        <v>292</v>
      </c>
      <c r="C59" s="10"/>
      <c r="D59" s="4">
        <f>SUM(OSRRefD25x_0)</f>
        <v>0</v>
      </c>
      <c r="E59" s="4"/>
      <c r="F59" s="11">
        <f t="shared" ref="F59:F60" si="54">IF(D$12=0,0,D59/D$12)</f>
        <v>0</v>
      </c>
      <c r="G59" s="4"/>
      <c r="H59" s="4">
        <f>SUM(OSRRefH25x_0)</f>
        <v>6782</v>
      </c>
      <c r="I59" s="4"/>
      <c r="J59" s="11">
        <f t="shared" ref="J59:J60" si="55">IF(H$12=0,0,H59/H$12)</f>
        <v>1.3989649062371723</v>
      </c>
      <c r="K59" s="4"/>
      <c r="L59" s="4">
        <f t="shared" ref="L59:L60" si="56">+D59-H59</f>
        <v>-6782</v>
      </c>
      <c r="M59" s="4"/>
      <c r="N59" s="11">
        <f t="shared" ref="N59:N60" si="57">IF(H59=0,0,L59/H59)</f>
        <v>-1</v>
      </c>
      <c r="O59" s="10"/>
      <c r="P59" s="4">
        <f>SUM(OSRRefP25x_0)</f>
        <v>0</v>
      </c>
      <c r="Q59" s="4"/>
      <c r="R59" s="11">
        <f t="shared" ref="R59:R60" si="58">IF(P$12=0,0,P59/P$12)</f>
        <v>0</v>
      </c>
      <c r="S59" s="4"/>
      <c r="T59" s="4">
        <f>SUM(OSRRefT25x_0)</f>
        <v>6782</v>
      </c>
      <c r="U59" s="4"/>
      <c r="V59" s="11">
        <f t="shared" ref="V59:V60" si="59">IF(T$12=0,0,T59/T$12)</f>
        <v>1.3989649062371723</v>
      </c>
      <c r="W59" s="4"/>
      <c r="X59" s="4">
        <f t="shared" ref="X59:X60" si="60">+P59-T59</f>
        <v>-6782</v>
      </c>
      <c r="Y59" s="4"/>
      <c r="Z59" s="11">
        <f t="shared" ref="Z59:Z60" si="61">IF(T59=0,0,X59/T59)</f>
        <v>-1</v>
      </c>
    </row>
    <row r="60" spans="1:26" s="24" customFormat="1" hidden="1" outlineLevel="1" x14ac:dyDescent="0.3">
      <c r="A60" s="50"/>
      <c r="B60" s="12" t="str">
        <f>CONCATENATE("          ", "9150", " - ", "MISC. INCOME")</f>
        <v xml:space="preserve">          9150 - MISC. INCOME</v>
      </c>
      <c r="C60" s="12"/>
      <c r="D60" s="3">
        <f>0</f>
        <v>0</v>
      </c>
      <c r="E60" s="3"/>
      <c r="F60" s="22">
        <f t="shared" si="54"/>
        <v>0</v>
      </c>
      <c r="G60" s="3"/>
      <c r="H60" s="3">
        <f>--6782</f>
        <v>6782</v>
      </c>
      <c r="I60" s="3"/>
      <c r="J60" s="22">
        <f t="shared" si="55"/>
        <v>1.3989649062371723</v>
      </c>
      <c r="K60" s="3"/>
      <c r="L60" s="3">
        <f t="shared" si="56"/>
        <v>-6782</v>
      </c>
      <c r="M60" s="3"/>
      <c r="N60" s="22">
        <f t="shared" si="57"/>
        <v>-1</v>
      </c>
      <c r="O60" s="12"/>
      <c r="P60" s="3">
        <f>0</f>
        <v>0</v>
      </c>
      <c r="Q60" s="3"/>
      <c r="R60" s="22">
        <f t="shared" si="58"/>
        <v>0</v>
      </c>
      <c r="S60" s="3"/>
      <c r="T60" s="3">
        <f>--6782</f>
        <v>6782</v>
      </c>
      <c r="U60" s="3"/>
      <c r="V60" s="22">
        <f t="shared" si="59"/>
        <v>1.3989649062371723</v>
      </c>
      <c r="W60" s="3"/>
      <c r="X60" s="3">
        <f t="shared" si="60"/>
        <v>-6782</v>
      </c>
      <c r="Y60" s="3"/>
      <c r="Z60" s="22">
        <f t="shared" si="61"/>
        <v>-1</v>
      </c>
    </row>
    <row r="61" spans="1:26" x14ac:dyDescent="0.3">
      <c r="A61" s="9"/>
      <c r="B61" s="10"/>
      <c r="C61" s="10"/>
      <c r="D61" s="2"/>
      <c r="E61" s="2"/>
      <c r="F61" s="6"/>
      <c r="G61" s="2"/>
      <c r="H61" s="2"/>
      <c r="I61" s="2"/>
      <c r="J61" s="6"/>
      <c r="K61" s="2"/>
      <c r="L61" s="2"/>
      <c r="M61" s="2"/>
      <c r="N61" s="6"/>
      <c r="O61" s="10"/>
      <c r="P61" s="2"/>
      <c r="Q61" s="2"/>
      <c r="R61" s="6"/>
      <c r="S61" s="2"/>
      <c r="T61" s="2"/>
      <c r="U61" s="2"/>
      <c r="V61" s="6"/>
      <c r="W61" s="2"/>
      <c r="X61" s="2"/>
      <c r="Y61" s="2"/>
      <c r="Z61" s="6"/>
    </row>
    <row r="62" spans="1:26" s="23" customFormat="1" x14ac:dyDescent="0.3">
      <c r="A62" s="10"/>
      <c r="B62" s="26" t="s">
        <v>276</v>
      </c>
      <c r="C62" s="26"/>
      <c r="D62" s="20">
        <f>+D23-D25+D59</f>
        <v>-35127.079999999994</v>
      </c>
      <c r="E62" s="13"/>
      <c r="F62" s="21">
        <f>IF(D$12=0,0,D62/D$12)</f>
        <v>-13.874350264633856</v>
      </c>
      <c r="G62" s="13"/>
      <c r="H62" s="20">
        <f>+H23-H25+H59</f>
        <v>-37524.080000000002</v>
      </c>
      <c r="I62" s="13"/>
      <c r="J62" s="21">
        <f>IF(H$12=0,0,H62/H$12)</f>
        <v>-7.7403230697192793</v>
      </c>
      <c r="K62" s="16"/>
      <c r="L62" s="20">
        <f>+D62-H62</f>
        <v>2397.0000000000073</v>
      </c>
      <c r="M62" s="16"/>
      <c r="N62" s="21">
        <f>IF(H62=0,0,L62/H62)</f>
        <v>-6.3878981176887145E-2</v>
      </c>
      <c r="O62" s="25"/>
      <c r="P62" s="20">
        <f>+P23-P25+P59</f>
        <v>-35127.079999999994</v>
      </c>
      <c r="Q62" s="13"/>
      <c r="R62" s="21">
        <f>IF(P$12=0,0,P62/P$12)</f>
        <v>-13.874350264633856</v>
      </c>
      <c r="S62" s="13"/>
      <c r="T62" s="20">
        <f>+T23-T25+T59</f>
        <v>-37524.080000000002</v>
      </c>
      <c r="U62" s="13"/>
      <c r="V62" s="21">
        <f>IF(T$12=0,0,T62/T$12)</f>
        <v>-7.7403230697192793</v>
      </c>
      <c r="W62" s="16"/>
      <c r="X62" s="20">
        <f>+P62-T62</f>
        <v>2397.0000000000073</v>
      </c>
      <c r="Y62" s="16"/>
      <c r="Z62" s="21">
        <f>IF(T62=0,0,X62/T62)</f>
        <v>-6.3878981176887145E-2</v>
      </c>
    </row>
    <row r="63" spans="1:26" x14ac:dyDescent="0.3">
      <c r="A63" s="9"/>
      <c r="B63" s="10"/>
      <c r="C63" s="9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23" customFormat="1" x14ac:dyDescent="0.3">
      <c r="A64" s="51"/>
      <c r="B64" s="10" t="s">
        <v>127</v>
      </c>
      <c r="C64" s="10"/>
      <c r="D64" s="4">
        <v>1169.68</v>
      </c>
      <c r="E64" s="4"/>
      <c r="F64" s="11">
        <f>IF(D$12=0,0,D64/D$12)</f>
        <v>0.46199541827948504</v>
      </c>
      <c r="G64" s="4"/>
      <c r="H64" s="4">
        <v>2331.5700000000002</v>
      </c>
      <c r="I64" s="4"/>
      <c r="J64" s="11">
        <f>IF(H$12=0,0,H64/H$12)</f>
        <v>0.48094730262981478</v>
      </c>
      <c r="K64" s="4"/>
      <c r="L64" s="4">
        <f>+D64-H64</f>
        <v>-1161.8900000000001</v>
      </c>
      <c r="M64" s="4"/>
      <c r="N64" s="11">
        <f>IF(H64=0,0,L64/H64)</f>
        <v>-0.49832945182859617</v>
      </c>
      <c r="O64" s="10"/>
      <c r="P64" s="4">
        <v>1169.68</v>
      </c>
      <c r="Q64" s="4"/>
      <c r="R64" s="11">
        <f>IF(P$12=0,0,P64/P$12)</f>
        <v>0.46199541827948504</v>
      </c>
      <c r="S64" s="4"/>
      <c r="T64" s="4">
        <v>2331.5700000000002</v>
      </c>
      <c r="U64" s="4"/>
      <c r="V64" s="11">
        <f>IF(T$12=0,0,T64/T$12)</f>
        <v>0.48094730262981478</v>
      </c>
      <c r="W64" s="4"/>
      <c r="X64" s="4">
        <f>+P64-T64</f>
        <v>-1161.8900000000001</v>
      </c>
      <c r="Y64" s="4"/>
      <c r="Z64" s="11">
        <f>IF(T64=0,0,X64/T64)</f>
        <v>-0.49832945182859617</v>
      </c>
    </row>
    <row r="65" spans="1:26" x14ac:dyDescent="0.3">
      <c r="A65" s="9"/>
      <c r="B65" s="10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10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" thickBot="1" x14ac:dyDescent="0.35">
      <c r="A66" s="10"/>
      <c r="B66" s="26" t="s">
        <v>125</v>
      </c>
      <c r="C66" s="26"/>
      <c r="D66" s="36">
        <f>+D62-D64</f>
        <v>-36296.759999999995</v>
      </c>
      <c r="E66" s="13"/>
      <c r="F66" s="34">
        <f>IF(D$12=0,0,D66/D$12)</f>
        <v>-14.336345682913342</v>
      </c>
      <c r="G66" s="13"/>
      <c r="H66" s="36">
        <f>+H62-H64</f>
        <v>-39855.65</v>
      </c>
      <c r="I66" s="13"/>
      <c r="J66" s="34">
        <f>IF(H$12=0,0,H66/H$12)</f>
        <v>-8.2212703723490943</v>
      </c>
      <c r="K66" s="16"/>
      <c r="L66" s="36">
        <f>D66-H66</f>
        <v>3558.8900000000067</v>
      </c>
      <c r="M66" s="16"/>
      <c r="N66" s="34">
        <f>IF(H66=0,0,L66/H66)</f>
        <v>-8.9294491496187026E-2</v>
      </c>
      <c r="O66" s="25"/>
      <c r="P66" s="36">
        <f>+P62-P64</f>
        <v>-36296.759999999995</v>
      </c>
      <c r="Q66" s="13"/>
      <c r="R66" s="34">
        <f>IF(P$12=0,0,P66/P$12)</f>
        <v>-14.336345682913342</v>
      </c>
      <c r="S66" s="13"/>
      <c r="T66" s="36">
        <f>+T62-T64</f>
        <v>-39855.65</v>
      </c>
      <c r="U66" s="13"/>
      <c r="V66" s="34">
        <f>IF(T$12=0,0,T66/T$12)</f>
        <v>-8.2212703723490943</v>
      </c>
      <c r="W66" s="16"/>
      <c r="X66" s="36">
        <f>P66-T66</f>
        <v>3558.8900000000067</v>
      </c>
      <c r="Y66" s="16"/>
      <c r="Z66" s="34">
        <f>IF(T66=0,0,X66/T66)</f>
        <v>-8.9294491496187026E-2</v>
      </c>
    </row>
    <row r="67" spans="1:26" ht="15" thickTop="1" x14ac:dyDescent="0.3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x14ac:dyDescent="0.3">
      <c r="A68" s="9"/>
      <c r="B68" s="9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" thickBot="1" x14ac:dyDescent="0.35">
      <c r="A69" s="10"/>
      <c r="B69" s="26" t="s">
        <v>293</v>
      </c>
      <c r="C69" s="26"/>
      <c r="D69" s="31">
        <f>SUM(D66:D68)</f>
        <v>-36296.759999999995</v>
      </c>
      <c r="E69" s="13"/>
      <c r="F69" s="33">
        <f>IF(D$12=0,0,D69/D$12)</f>
        <v>-14.336345682913342</v>
      </c>
      <c r="G69" s="13"/>
      <c r="H69" s="31">
        <f>SUM(H66:H68)</f>
        <v>-39855.65</v>
      </c>
      <c r="I69" s="13"/>
      <c r="J69" s="33">
        <f>IF(H$12=0,0,H69/H$12)</f>
        <v>-8.2212703723490943</v>
      </c>
      <c r="K69" s="16"/>
      <c r="L69" s="31">
        <f>+D69-H69</f>
        <v>3558.8900000000067</v>
      </c>
      <c r="M69" s="16"/>
      <c r="N69" s="33">
        <f>IF(H69=0,0,L69/H69)</f>
        <v>-8.9294491496187026E-2</v>
      </c>
      <c r="O69" s="25"/>
      <c r="P69" s="31">
        <f>SUM(P66:P68)</f>
        <v>-36296.759999999995</v>
      </c>
      <c r="Q69" s="13"/>
      <c r="R69" s="33">
        <f>IF(P$12=0,0,P69/P$12)</f>
        <v>-14.336345682913342</v>
      </c>
      <c r="S69" s="13"/>
      <c r="T69" s="31">
        <f>SUM(T66:T68)</f>
        <v>-39855.65</v>
      </c>
      <c r="U69" s="13"/>
      <c r="V69" s="33">
        <f>IF(T$12=0,0,T69/T$12)</f>
        <v>-8.2212703723490943</v>
      </c>
      <c r="W69" s="16"/>
      <c r="X69" s="31">
        <f>+P69-T69</f>
        <v>3558.8900000000067</v>
      </c>
      <c r="Y69" s="16"/>
      <c r="Z69" s="33">
        <f>IF(T69=0,0,X69/T69)</f>
        <v>-8.9294491496187026E-2</v>
      </c>
    </row>
    <row r="70" spans="1:26" ht="15" thickTop="1" x14ac:dyDescent="0.3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A71" s="9"/>
      <c r="B71" s="59">
        <v>44462.666945868055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57" t="s">
        <v>56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A73" s="9"/>
      <c r="B73" s="61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U78" sqref="U78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95306.299999999988</v>
      </c>
      <c r="E12" s="4"/>
      <c r="F12" s="11"/>
      <c r="G12" s="4"/>
      <c r="H12" s="4">
        <f>SUM(OSRRefH13x_0)</f>
        <v>207967.07</v>
      </c>
      <c r="I12" s="4"/>
      <c r="J12" s="11"/>
      <c r="K12" s="4"/>
      <c r="L12" s="4">
        <f t="shared" ref="L12:L30" si="0">+D12-H12</f>
        <v>-112660.77000000002</v>
      </c>
      <c r="M12" s="4"/>
      <c r="N12" s="11">
        <f t="shared" ref="N12:N30" si="1">IF(H12=0,0,L12/H12)</f>
        <v>-0.54172408160580432</v>
      </c>
      <c r="O12" s="10"/>
      <c r="P12" s="4">
        <f>SUM(OSRRefP13x_0)</f>
        <v>95306.299999999988</v>
      </c>
      <c r="Q12" s="4"/>
      <c r="R12" s="11"/>
      <c r="S12" s="4"/>
      <c r="T12" s="4">
        <f>SUM(OSRRefT13x_0)</f>
        <v>207967.07</v>
      </c>
      <c r="U12" s="4"/>
      <c r="V12" s="11"/>
      <c r="W12" s="4"/>
      <c r="X12" s="4">
        <f t="shared" ref="X12:X30" si="2">+P12-T12</f>
        <v>-112660.77000000002</v>
      </c>
      <c r="Y12" s="4"/>
      <c r="Z12" s="11">
        <f t="shared" ref="Z12:Z30" si="3">IF(T12=0,0,X12/T12)</f>
        <v>-0.54172408160580432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--81956.26</f>
        <v>81956.259999999995</v>
      </c>
      <c r="E13" s="3"/>
      <c r="F13" s="22"/>
      <c r="G13" s="3"/>
      <c r="H13" s="3">
        <f>-370.91</f>
        <v>-370.91</v>
      </c>
      <c r="I13" s="3"/>
      <c r="J13" s="22"/>
      <c r="K13" s="3"/>
      <c r="L13" s="3">
        <f t="shared" si="0"/>
        <v>82327.17</v>
      </c>
      <c r="M13" s="3"/>
      <c r="N13" s="22">
        <f t="shared" si="1"/>
        <v>-221.95996333342319</v>
      </c>
      <c r="O13" s="12"/>
      <c r="P13" s="3">
        <f>--81956.26</f>
        <v>81956.259999999995</v>
      </c>
      <c r="Q13" s="3"/>
      <c r="R13" s="22"/>
      <c r="S13" s="3"/>
      <c r="T13" s="3">
        <f>-370.91</f>
        <v>-370.91</v>
      </c>
      <c r="U13" s="3"/>
      <c r="V13" s="22"/>
      <c r="W13" s="3"/>
      <c r="X13" s="3">
        <f t="shared" si="2"/>
        <v>82327.17</v>
      </c>
      <c r="Y13" s="3"/>
      <c r="Z13" s="22">
        <f t="shared" si="3"/>
        <v>-221.95996333342319</v>
      </c>
    </row>
    <row r="14" spans="1:26" s="24" customFormat="1" hidden="1" outlineLevel="1" x14ac:dyDescent="0.3">
      <c r="A14" s="50"/>
      <c r="B14" s="12" t="str">
        <f>CONCATENATE("          ", "4081", " - ", "TAXABLE SALES-ELECTRONICS")</f>
        <v xml:space="preserve">          4081 - TAXABLE SALES-ELECTRONICS</v>
      </c>
      <c r="C14" s="12"/>
      <c r="D14" s="3">
        <f t="shared" ref="D14:D18" si="4">0</f>
        <v>0</v>
      </c>
      <c r="E14" s="3"/>
      <c r="F14" s="22"/>
      <c r="G14" s="3"/>
      <c r="H14" s="3">
        <f>--21557.16</f>
        <v>21557.16</v>
      </c>
      <c r="I14" s="3"/>
      <c r="J14" s="22"/>
      <c r="K14" s="3"/>
      <c r="L14" s="3">
        <f t="shared" si="0"/>
        <v>-21557.16</v>
      </c>
      <c r="M14" s="3"/>
      <c r="N14" s="22">
        <f t="shared" si="1"/>
        <v>-1</v>
      </c>
      <c r="O14" s="12"/>
      <c r="P14" s="3">
        <f t="shared" ref="P14:P18" si="5">0</f>
        <v>0</v>
      </c>
      <c r="Q14" s="3"/>
      <c r="R14" s="22"/>
      <c r="S14" s="3"/>
      <c r="T14" s="3">
        <f>--21557.16</f>
        <v>21557.16</v>
      </c>
      <c r="U14" s="3"/>
      <c r="V14" s="22"/>
      <c r="W14" s="3"/>
      <c r="X14" s="3">
        <f t="shared" si="2"/>
        <v>-21557.16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"4082", " - ", "TAXABLE SALES-COMPUTER HARDWAR")</f>
        <v xml:space="preserve">          4082 - TAXABLE SALES-COMPUTER HARDWAR</v>
      </c>
      <c r="C15" s="12"/>
      <c r="D15" s="3">
        <f t="shared" si="4"/>
        <v>0</v>
      </c>
      <c r="E15" s="3"/>
      <c r="F15" s="22"/>
      <c r="G15" s="3"/>
      <c r="H15" s="3">
        <f>--137228.87</f>
        <v>137228.87</v>
      </c>
      <c r="I15" s="3"/>
      <c r="J15" s="22"/>
      <c r="K15" s="3"/>
      <c r="L15" s="3">
        <f t="shared" si="0"/>
        <v>-137228.87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--137228.87</f>
        <v>137228.87</v>
      </c>
      <c r="U15" s="3"/>
      <c r="V15" s="22"/>
      <c r="W15" s="3"/>
      <c r="X15" s="3">
        <f t="shared" si="2"/>
        <v>-137228.87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"4083", " - ", "TAXABLE SALES-COMPUTER EQUIPME")</f>
        <v xml:space="preserve">          4083 - TAXABLE SALES-COMPUTER EQUIPME</v>
      </c>
      <c r="C16" s="12"/>
      <c r="D16" s="3">
        <f t="shared" si="4"/>
        <v>0</v>
      </c>
      <c r="E16" s="3"/>
      <c r="F16" s="22"/>
      <c r="G16" s="3"/>
      <c r="H16" s="3">
        <f>--6790.15</f>
        <v>6790.15</v>
      </c>
      <c r="I16" s="3"/>
      <c r="J16" s="22"/>
      <c r="K16" s="3"/>
      <c r="L16" s="3">
        <f t="shared" si="0"/>
        <v>-6790.15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--6790.15</f>
        <v>6790.15</v>
      </c>
      <c r="U16" s="3"/>
      <c r="V16" s="22"/>
      <c r="W16" s="3"/>
      <c r="X16" s="3">
        <f t="shared" si="2"/>
        <v>-6790.15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"4085", " - ", "TAXABLE SALES-SOFTWARE")</f>
        <v xml:space="preserve">          4085 - TAXABLE SALES-SOFTWARE</v>
      </c>
      <c r="C17" s="12"/>
      <c r="D17" s="3">
        <f t="shared" si="4"/>
        <v>0</v>
      </c>
      <c r="E17" s="3"/>
      <c r="F17" s="22"/>
      <c r="G17" s="3"/>
      <c r="H17" s="3">
        <f>0</f>
        <v>0</v>
      </c>
      <c r="I17" s="3"/>
      <c r="J17" s="22"/>
      <c r="K17" s="3"/>
      <c r="L17" s="3">
        <f t="shared" si="0"/>
        <v>0</v>
      </c>
      <c r="M17" s="3"/>
      <c r="N17" s="22">
        <f t="shared" si="1"/>
        <v>0</v>
      </c>
      <c r="O17" s="12"/>
      <c r="P17" s="3">
        <f t="shared" si="5"/>
        <v>0</v>
      </c>
      <c r="Q17" s="3"/>
      <c r="R17" s="22"/>
      <c r="S17" s="3"/>
      <c r="T17" s="3">
        <f>0</f>
        <v>0</v>
      </c>
      <c r="U17" s="3"/>
      <c r="V17" s="22"/>
      <c r="W17" s="3"/>
      <c r="X17" s="3">
        <f t="shared" si="2"/>
        <v>0</v>
      </c>
      <c r="Y17" s="3"/>
      <c r="Z17" s="22">
        <f t="shared" si="3"/>
        <v>0</v>
      </c>
    </row>
    <row r="18" spans="1:26" s="24" customFormat="1" hidden="1" outlineLevel="1" x14ac:dyDescent="0.3">
      <c r="A18" s="50"/>
      <c r="B18" s="12" t="str">
        <f>CONCATENATE("          ", "4086", " - ", "TAXABLE SALES-COMPUTER SUPPLIE")</f>
        <v xml:space="preserve">          4086 - TAXABLE SALES-COMPUTER SUPPLIE</v>
      </c>
      <c r="C18" s="12"/>
      <c r="D18" s="3">
        <f t="shared" si="4"/>
        <v>0</v>
      </c>
      <c r="E18" s="3"/>
      <c r="F18" s="22"/>
      <c r="G18" s="3"/>
      <c r="H18" s="3">
        <f>--25959.21</f>
        <v>25959.21</v>
      </c>
      <c r="I18" s="3"/>
      <c r="J18" s="22"/>
      <c r="K18" s="3"/>
      <c r="L18" s="3">
        <f t="shared" si="0"/>
        <v>-25959.21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--25959.21</f>
        <v>25959.21</v>
      </c>
      <c r="U18" s="3"/>
      <c r="V18" s="22"/>
      <c r="W18" s="3"/>
      <c r="X18" s="3">
        <f t="shared" si="2"/>
        <v>-25959.21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"4100", " - ", "NON-TAXABLE SALES")</f>
        <v xml:space="preserve">          4100 - NON-TAXABLE SALES</v>
      </c>
      <c r="C19" s="12"/>
      <c r="D19" s="3">
        <f>--40967.98</f>
        <v>40967.980000000003</v>
      </c>
      <c r="E19" s="3"/>
      <c r="F19" s="22"/>
      <c r="G19" s="3"/>
      <c r="H19" s="3">
        <f>0</f>
        <v>0</v>
      </c>
      <c r="I19" s="3"/>
      <c r="J19" s="22"/>
      <c r="K19" s="3"/>
      <c r="L19" s="3">
        <f t="shared" si="0"/>
        <v>40967.980000000003</v>
      </c>
      <c r="M19" s="3"/>
      <c r="N19" s="22">
        <f t="shared" si="1"/>
        <v>0</v>
      </c>
      <c r="O19" s="12"/>
      <c r="P19" s="3">
        <f>--40967.98</f>
        <v>40967.980000000003</v>
      </c>
      <c r="Q19" s="3"/>
      <c r="R19" s="22"/>
      <c r="S19" s="3"/>
      <c r="T19" s="3">
        <f>0</f>
        <v>0</v>
      </c>
      <c r="U19" s="3"/>
      <c r="V19" s="22"/>
      <c r="W19" s="3"/>
      <c r="X19" s="3">
        <f t="shared" si="2"/>
        <v>40967.980000000003</v>
      </c>
      <c r="Y19" s="3"/>
      <c r="Z19" s="22">
        <f t="shared" si="3"/>
        <v>0</v>
      </c>
    </row>
    <row r="20" spans="1:26" s="24" customFormat="1" hidden="1" outlineLevel="1" x14ac:dyDescent="0.3">
      <c r="A20" s="50"/>
      <c r="B20" s="12" t="str">
        <f>CONCATENATE("          ", "4181", " - ", "NON-TAXABLE SALES-ELECTRONICS")</f>
        <v xml:space="preserve">          4181 - NON-TAXABLE SALES-ELECTRONICS</v>
      </c>
      <c r="C20" s="12"/>
      <c r="D20" s="3">
        <f t="shared" ref="D20:D24" si="6">0</f>
        <v>0</v>
      </c>
      <c r="E20" s="3"/>
      <c r="F20" s="22"/>
      <c r="G20" s="3"/>
      <c r="H20" s="3">
        <f>--289.98</f>
        <v>289.98</v>
      </c>
      <c r="I20" s="3"/>
      <c r="J20" s="22"/>
      <c r="K20" s="3"/>
      <c r="L20" s="3">
        <f t="shared" si="0"/>
        <v>-289.98</v>
      </c>
      <c r="M20" s="3"/>
      <c r="N20" s="22">
        <f t="shared" si="1"/>
        <v>-1</v>
      </c>
      <c r="O20" s="12"/>
      <c r="P20" s="3">
        <f t="shared" ref="P20:P24" si="7">0</f>
        <v>0</v>
      </c>
      <c r="Q20" s="3"/>
      <c r="R20" s="22"/>
      <c r="S20" s="3"/>
      <c r="T20" s="3">
        <f>--289.98</f>
        <v>289.98</v>
      </c>
      <c r="U20" s="3"/>
      <c r="V20" s="22"/>
      <c r="W20" s="3"/>
      <c r="X20" s="3">
        <f t="shared" si="2"/>
        <v>-289.98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"4182", " - ", "NON-TAXABLE SALES-COMPUTER HAR")</f>
        <v xml:space="preserve">          4182 - NON-TAXABLE SALES-COMPUTER HAR</v>
      </c>
      <c r="C21" s="12"/>
      <c r="D21" s="3">
        <f t="shared" si="6"/>
        <v>0</v>
      </c>
      <c r="E21" s="3"/>
      <c r="F21" s="22"/>
      <c r="G21" s="3"/>
      <c r="H21" s="3">
        <f>--35876.99</f>
        <v>35876.99</v>
      </c>
      <c r="I21" s="3"/>
      <c r="J21" s="22"/>
      <c r="K21" s="3"/>
      <c r="L21" s="3">
        <f t="shared" si="0"/>
        <v>-35876.99</v>
      </c>
      <c r="M21" s="3"/>
      <c r="N21" s="22">
        <f t="shared" si="1"/>
        <v>-1</v>
      </c>
      <c r="O21" s="12"/>
      <c r="P21" s="3">
        <f t="shared" si="7"/>
        <v>0</v>
      </c>
      <c r="Q21" s="3"/>
      <c r="R21" s="22"/>
      <c r="S21" s="3"/>
      <c r="T21" s="3">
        <f>--35876.99</f>
        <v>35876.99</v>
      </c>
      <c r="U21" s="3"/>
      <c r="V21" s="22"/>
      <c r="W21" s="3"/>
      <c r="X21" s="3">
        <f t="shared" si="2"/>
        <v>-35876.99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"4183", " - ", "NON-TAXABLE SALES-COMPUTER EQU")</f>
        <v xml:space="preserve">          4183 - NON-TAXABLE SALES-COMPUTER EQU</v>
      </c>
      <c r="C22" s="12"/>
      <c r="D22" s="3">
        <f t="shared" si="6"/>
        <v>0</v>
      </c>
      <c r="E22" s="3"/>
      <c r="F22" s="22"/>
      <c r="G22" s="3"/>
      <c r="H22" s="3">
        <f>--1359.85</f>
        <v>1359.85</v>
      </c>
      <c r="I22" s="3"/>
      <c r="J22" s="22"/>
      <c r="K22" s="3"/>
      <c r="L22" s="3">
        <f t="shared" si="0"/>
        <v>-1359.85</v>
      </c>
      <c r="M22" s="3"/>
      <c r="N22" s="22">
        <f t="shared" si="1"/>
        <v>-1</v>
      </c>
      <c r="O22" s="12"/>
      <c r="P22" s="3">
        <f t="shared" si="7"/>
        <v>0</v>
      </c>
      <c r="Q22" s="3"/>
      <c r="R22" s="22"/>
      <c r="S22" s="3"/>
      <c r="T22" s="3">
        <f>--1359.85</f>
        <v>1359.85</v>
      </c>
      <c r="U22" s="3"/>
      <c r="V22" s="22"/>
      <c r="W22" s="3"/>
      <c r="X22" s="3">
        <f t="shared" si="2"/>
        <v>-1359.85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"4185", " - ", "NON-TAXABLE SALES-SOFTWARE")</f>
        <v xml:space="preserve">          4185 - NON-TAXABLE SALES-SOFTWARE</v>
      </c>
      <c r="C23" s="12"/>
      <c r="D23" s="3">
        <f t="shared" si="6"/>
        <v>0</v>
      </c>
      <c r="E23" s="3"/>
      <c r="F23" s="22"/>
      <c r="G23" s="3"/>
      <c r="H23" s="3">
        <f>--6187.74</f>
        <v>6187.74</v>
      </c>
      <c r="I23" s="3"/>
      <c r="J23" s="22"/>
      <c r="K23" s="3"/>
      <c r="L23" s="3">
        <f t="shared" si="0"/>
        <v>-6187.74</v>
      </c>
      <c r="M23" s="3"/>
      <c r="N23" s="22">
        <f t="shared" si="1"/>
        <v>-1</v>
      </c>
      <c r="O23" s="12"/>
      <c r="P23" s="3">
        <f t="shared" si="7"/>
        <v>0</v>
      </c>
      <c r="Q23" s="3"/>
      <c r="R23" s="22"/>
      <c r="S23" s="3"/>
      <c r="T23" s="3">
        <f>--6187.74</f>
        <v>6187.74</v>
      </c>
      <c r="U23" s="3"/>
      <c r="V23" s="22"/>
      <c r="W23" s="3"/>
      <c r="X23" s="3">
        <f t="shared" si="2"/>
        <v>-6187.74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"4186", " - ", "NON-TAXABLE SALES-COMPUTER SUP")</f>
        <v xml:space="preserve">          4186 - NON-TAXABLE SALES-COMPUTER SUP</v>
      </c>
      <c r="C24" s="12"/>
      <c r="D24" s="3">
        <f t="shared" si="6"/>
        <v>0</v>
      </c>
      <c r="E24" s="3"/>
      <c r="F24" s="22"/>
      <c r="G24" s="3"/>
      <c r="H24" s="3">
        <f>--154.95</f>
        <v>154.94999999999999</v>
      </c>
      <c r="I24" s="3"/>
      <c r="J24" s="22"/>
      <c r="K24" s="3"/>
      <c r="L24" s="3">
        <f t="shared" si="0"/>
        <v>-154.94999999999999</v>
      </c>
      <c r="M24" s="3"/>
      <c r="N24" s="22">
        <f t="shared" si="1"/>
        <v>-1</v>
      </c>
      <c r="O24" s="12"/>
      <c r="P24" s="3">
        <f t="shared" si="7"/>
        <v>0</v>
      </c>
      <c r="Q24" s="3"/>
      <c r="R24" s="22"/>
      <c r="S24" s="3"/>
      <c r="T24" s="3">
        <f>--154.95</f>
        <v>154.94999999999999</v>
      </c>
      <c r="U24" s="3"/>
      <c r="V24" s="22"/>
      <c r="W24" s="3"/>
      <c r="X24" s="3">
        <f t="shared" si="2"/>
        <v>-154.94999999999999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"4200", " - ", "TAXABLE RETURNS")</f>
        <v xml:space="preserve">          4200 - TAXABLE RETURNS</v>
      </c>
      <c r="C25" s="12"/>
      <c r="D25" s="3">
        <f>-27218.94</f>
        <v>-27218.94</v>
      </c>
      <c r="E25" s="3"/>
      <c r="F25" s="22"/>
      <c r="G25" s="3"/>
      <c r="H25" s="3">
        <f>0</f>
        <v>0</v>
      </c>
      <c r="I25" s="3"/>
      <c r="J25" s="22"/>
      <c r="K25" s="3"/>
      <c r="L25" s="3">
        <f t="shared" si="0"/>
        <v>-27218.94</v>
      </c>
      <c r="M25" s="3"/>
      <c r="N25" s="22">
        <f t="shared" si="1"/>
        <v>0</v>
      </c>
      <c r="O25" s="12"/>
      <c r="P25" s="3">
        <f>-27218.94</f>
        <v>-27218.94</v>
      </c>
      <c r="Q25" s="3"/>
      <c r="R25" s="22"/>
      <c r="S25" s="3"/>
      <c r="T25" s="3">
        <f>0</f>
        <v>0</v>
      </c>
      <c r="U25" s="3"/>
      <c r="V25" s="22"/>
      <c r="W25" s="3"/>
      <c r="X25" s="3">
        <f t="shared" si="2"/>
        <v>-27218.94</v>
      </c>
      <c r="Y25" s="3"/>
      <c r="Z25" s="22">
        <f t="shared" si="3"/>
        <v>0</v>
      </c>
    </row>
    <row r="26" spans="1:26" s="24" customFormat="1" hidden="1" outlineLevel="1" x14ac:dyDescent="0.3">
      <c r="A26" s="50"/>
      <c r="B26" s="12" t="str">
        <f>CONCATENATE("          ", "4281", " - ", "SALES RETURN TAXABLE-ELECTRONI")</f>
        <v xml:space="preserve">          4281 - SALES RETURN TAXABLE-ELECTRONI</v>
      </c>
      <c r="C26" s="12"/>
      <c r="D26" s="3">
        <f t="shared" ref="D26:D28" si="8">0</f>
        <v>0</v>
      </c>
      <c r="E26" s="3"/>
      <c r="F26" s="22"/>
      <c r="G26" s="3"/>
      <c r="H26" s="3">
        <f>-6291.99</f>
        <v>-6291.99</v>
      </c>
      <c r="I26" s="3"/>
      <c r="J26" s="22"/>
      <c r="K26" s="3"/>
      <c r="L26" s="3">
        <f t="shared" si="0"/>
        <v>6291.99</v>
      </c>
      <c r="M26" s="3"/>
      <c r="N26" s="22">
        <f t="shared" si="1"/>
        <v>-1</v>
      </c>
      <c r="O26" s="12"/>
      <c r="P26" s="3">
        <f t="shared" ref="P26:P28" si="9">0</f>
        <v>0</v>
      </c>
      <c r="Q26" s="3"/>
      <c r="R26" s="22"/>
      <c r="S26" s="3"/>
      <c r="T26" s="3">
        <f>-6291.99</f>
        <v>-6291.99</v>
      </c>
      <c r="U26" s="3"/>
      <c r="V26" s="22"/>
      <c r="W26" s="3"/>
      <c r="X26" s="3">
        <f t="shared" si="2"/>
        <v>6291.99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"4282", " - ", "SALES RETURN TAXABLE-COMPUTER")</f>
        <v xml:space="preserve">          4282 - SALES RETURN TAXABLE-COMPUTER</v>
      </c>
      <c r="C27" s="12"/>
      <c r="D27" s="3">
        <f t="shared" si="8"/>
        <v>0</v>
      </c>
      <c r="E27" s="3"/>
      <c r="F27" s="22"/>
      <c r="G27" s="3"/>
      <c r="H27" s="3">
        <f>-18207</f>
        <v>-18207</v>
      </c>
      <c r="I27" s="3"/>
      <c r="J27" s="22"/>
      <c r="K27" s="3"/>
      <c r="L27" s="3">
        <f t="shared" si="0"/>
        <v>18207</v>
      </c>
      <c r="M27" s="3"/>
      <c r="N27" s="22">
        <f t="shared" si="1"/>
        <v>-1</v>
      </c>
      <c r="O27" s="12"/>
      <c r="P27" s="3">
        <f t="shared" si="9"/>
        <v>0</v>
      </c>
      <c r="Q27" s="3"/>
      <c r="R27" s="22"/>
      <c r="S27" s="3"/>
      <c r="T27" s="3">
        <f>-18207</f>
        <v>-18207</v>
      </c>
      <c r="U27" s="3"/>
      <c r="V27" s="22"/>
      <c r="W27" s="3"/>
      <c r="X27" s="3">
        <f t="shared" si="2"/>
        <v>18207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"4283", " - ", "SALES RETURN TAXABLE-COMPUTER")</f>
        <v xml:space="preserve">          4283 - SALES RETURN TAXABLE-COMPUTER</v>
      </c>
      <c r="C28" s="12"/>
      <c r="D28" s="3">
        <f t="shared" si="8"/>
        <v>0</v>
      </c>
      <c r="E28" s="3"/>
      <c r="F28" s="22"/>
      <c r="G28" s="3"/>
      <c r="H28" s="3">
        <f>-818.93</f>
        <v>-818.93</v>
      </c>
      <c r="I28" s="3"/>
      <c r="J28" s="22"/>
      <c r="K28" s="3"/>
      <c r="L28" s="3">
        <f t="shared" si="0"/>
        <v>818.93</v>
      </c>
      <c r="M28" s="3"/>
      <c r="N28" s="22">
        <f t="shared" si="1"/>
        <v>-1</v>
      </c>
      <c r="O28" s="12"/>
      <c r="P28" s="3">
        <f t="shared" si="9"/>
        <v>0</v>
      </c>
      <c r="Q28" s="3"/>
      <c r="R28" s="22"/>
      <c r="S28" s="3"/>
      <c r="T28" s="3">
        <f>-818.93</f>
        <v>-818.93</v>
      </c>
      <c r="U28" s="3"/>
      <c r="V28" s="22"/>
      <c r="W28" s="3"/>
      <c r="X28" s="3">
        <f t="shared" si="2"/>
        <v>818.93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"4300", " - ", "NON-TAX RETURNS")</f>
        <v xml:space="preserve">          4300 - NON-TAX RETURNS</v>
      </c>
      <c r="C29" s="12"/>
      <c r="D29" s="3">
        <f>-399</f>
        <v>-399</v>
      </c>
      <c r="E29" s="3"/>
      <c r="F29" s="22"/>
      <c r="G29" s="3"/>
      <c r="H29" s="3">
        <f>0</f>
        <v>0</v>
      </c>
      <c r="I29" s="3"/>
      <c r="J29" s="22"/>
      <c r="K29" s="3"/>
      <c r="L29" s="3">
        <f t="shared" si="0"/>
        <v>-399</v>
      </c>
      <c r="M29" s="3"/>
      <c r="N29" s="22">
        <f t="shared" si="1"/>
        <v>0</v>
      </c>
      <c r="O29" s="12"/>
      <c r="P29" s="3">
        <f>-399</f>
        <v>-399</v>
      </c>
      <c r="Q29" s="3"/>
      <c r="R29" s="22"/>
      <c r="S29" s="3"/>
      <c r="T29" s="3">
        <f>0</f>
        <v>0</v>
      </c>
      <c r="U29" s="3"/>
      <c r="V29" s="22"/>
      <c r="W29" s="3"/>
      <c r="X29" s="3">
        <f t="shared" si="2"/>
        <v>-399</v>
      </c>
      <c r="Y29" s="3"/>
      <c r="Z29" s="22">
        <f t="shared" si="3"/>
        <v>0</v>
      </c>
    </row>
    <row r="30" spans="1:26" s="24" customFormat="1" hidden="1" outlineLevel="1" x14ac:dyDescent="0.3">
      <c r="A30" s="50"/>
      <c r="B30" s="12" t="str">
        <f>CONCATENATE("          ", "4381", " - ", "SALES RETURN NON TAXABLE-ELECT")</f>
        <v xml:space="preserve">          4381 - SALES RETURN NON TAXABLE-ELECT</v>
      </c>
      <c r="C30" s="12"/>
      <c r="D30" s="3">
        <f>0</f>
        <v>0</v>
      </c>
      <c r="E30" s="3"/>
      <c r="F30" s="22"/>
      <c r="G30" s="3"/>
      <c r="H30" s="3">
        <f>-1749</f>
        <v>-1749</v>
      </c>
      <c r="I30" s="3"/>
      <c r="J30" s="22"/>
      <c r="K30" s="3"/>
      <c r="L30" s="3">
        <f t="shared" si="0"/>
        <v>1749</v>
      </c>
      <c r="M30" s="3"/>
      <c r="N30" s="22">
        <f t="shared" si="1"/>
        <v>-1</v>
      </c>
      <c r="O30" s="12"/>
      <c r="P30" s="3">
        <f>0</f>
        <v>0</v>
      </c>
      <c r="Q30" s="3"/>
      <c r="R30" s="22"/>
      <c r="S30" s="3"/>
      <c r="T30" s="3">
        <f>-1749</f>
        <v>-1749</v>
      </c>
      <c r="U30" s="3"/>
      <c r="V30" s="22"/>
      <c r="W30" s="3"/>
      <c r="X30" s="3">
        <f t="shared" si="2"/>
        <v>1749</v>
      </c>
      <c r="Y30" s="3"/>
      <c r="Z30" s="22">
        <f t="shared" si="3"/>
        <v>-1</v>
      </c>
    </row>
    <row r="31" spans="1:26" x14ac:dyDescent="0.3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collapsed="1" x14ac:dyDescent="0.3">
      <c r="A32" s="10"/>
      <c r="B32" s="25" t="s">
        <v>256</v>
      </c>
      <c r="C32" s="10"/>
      <c r="D32" s="4">
        <f>SUM(OSRRefD16x_0)</f>
        <v>82371.47</v>
      </c>
      <c r="E32" s="4"/>
      <c r="F32" s="11">
        <f t="shared" ref="F32:F42" si="10">IF(D$12=0,0,D32/D$12)</f>
        <v>0.86428147981822834</v>
      </c>
      <c r="G32" s="4"/>
      <c r="H32" s="4">
        <f>SUM(OSRRefH16x_0)</f>
        <v>183956.00000000003</v>
      </c>
      <c r="I32" s="4"/>
      <c r="J32" s="11">
        <f t="shared" ref="J32:J42" si="11">IF(H$12=0,0,H32/H$12)</f>
        <v>0.88454388476021717</v>
      </c>
      <c r="K32" s="4"/>
      <c r="L32" s="4">
        <f t="shared" ref="L32:L42" si="12">+D32-H32</f>
        <v>-101584.53000000003</v>
      </c>
      <c r="M32" s="4"/>
      <c r="N32" s="11">
        <f t="shared" ref="N32:N42" si="13">IF(H32=0,0,L32/H32)</f>
        <v>-0.55222189001717803</v>
      </c>
      <c r="O32" s="10"/>
      <c r="P32" s="4">
        <f>SUM(OSRRefP16x_0)</f>
        <v>82371.47</v>
      </c>
      <c r="Q32" s="4"/>
      <c r="R32" s="11">
        <f t="shared" ref="R32:R42" si="14">IF(P$12=0,0,P32/P$12)</f>
        <v>0.86428147981822834</v>
      </c>
      <c r="S32" s="4"/>
      <c r="T32" s="4">
        <f>SUM(OSRRefT16x_0)</f>
        <v>183956.00000000003</v>
      </c>
      <c r="U32" s="4"/>
      <c r="V32" s="11">
        <f t="shared" ref="V32:V42" si="15">IF(T$12=0,0,T32/T$12)</f>
        <v>0.88454388476021717</v>
      </c>
      <c r="W32" s="4"/>
      <c r="X32" s="4">
        <f t="shared" ref="X32:X42" si="16">+P32-T32</f>
        <v>-101584.53000000003</v>
      </c>
      <c r="Y32" s="4"/>
      <c r="Z32" s="11">
        <f t="shared" ref="Z32:Z42" si="17">IF(T32=0,0,X32/T32)</f>
        <v>-0.55222189001717803</v>
      </c>
    </row>
    <row r="33" spans="1:26" s="24" customFormat="1" hidden="1" outlineLevel="1" x14ac:dyDescent="0.3">
      <c r="A33" s="50"/>
      <c r="B33" s="12" t="str">
        <f>CONCATENATE("          ", "5000", " - ", "PURCHASES @ COST")</f>
        <v xml:space="preserve">          5000 - PURCHASES @ COST</v>
      </c>
      <c r="C33" s="12"/>
      <c r="D33" s="3">
        <v>97362.54</v>
      </c>
      <c r="E33" s="3"/>
      <c r="F33" s="22">
        <f t="shared" si="10"/>
        <v>1.0215750690143255</v>
      </c>
      <c r="G33" s="3"/>
      <c r="H33" s="3"/>
      <c r="I33" s="3"/>
      <c r="J33" s="22">
        <f t="shared" si="11"/>
        <v>0</v>
      </c>
      <c r="K33" s="3"/>
      <c r="L33" s="3">
        <f t="shared" si="12"/>
        <v>97362.54</v>
      </c>
      <c r="M33" s="3"/>
      <c r="N33" s="22">
        <f t="shared" si="13"/>
        <v>0</v>
      </c>
      <c r="O33" s="12"/>
      <c r="P33" s="3">
        <v>97362.54</v>
      </c>
      <c r="Q33" s="3"/>
      <c r="R33" s="22">
        <f t="shared" si="14"/>
        <v>1.0215750690143255</v>
      </c>
      <c r="S33" s="3"/>
      <c r="T33" s="3"/>
      <c r="U33" s="3"/>
      <c r="V33" s="22">
        <f t="shared" si="15"/>
        <v>0</v>
      </c>
      <c r="W33" s="3"/>
      <c r="X33" s="3">
        <f t="shared" si="16"/>
        <v>97362.54</v>
      </c>
      <c r="Y33" s="3"/>
      <c r="Z33" s="22">
        <f t="shared" si="17"/>
        <v>0</v>
      </c>
    </row>
    <row r="34" spans="1:26" s="24" customFormat="1" hidden="1" outlineLevel="1" x14ac:dyDescent="0.3">
      <c r="A34" s="50"/>
      <c r="B34" s="12" t="str">
        <f>CONCATENATE("          ", "5081", " - ", "PURCHASES @ COST-ELECTRONICS")</f>
        <v xml:space="preserve">          5081 - PURCHASES @ COST-ELECTRONICS</v>
      </c>
      <c r="C34" s="12"/>
      <c r="D34" s="3">
        <v>0</v>
      </c>
      <c r="E34" s="3"/>
      <c r="F34" s="22">
        <f t="shared" si="10"/>
        <v>0</v>
      </c>
      <c r="G34" s="3"/>
      <c r="H34" s="3">
        <v>6676.92</v>
      </c>
      <c r="I34" s="3"/>
      <c r="J34" s="22">
        <f t="shared" si="11"/>
        <v>3.2105659804698886E-2</v>
      </c>
      <c r="K34" s="3"/>
      <c r="L34" s="3">
        <f t="shared" si="12"/>
        <v>-6676.92</v>
      </c>
      <c r="M34" s="3"/>
      <c r="N34" s="22">
        <f t="shared" si="13"/>
        <v>-1</v>
      </c>
      <c r="O34" s="12"/>
      <c r="P34" s="3">
        <v>0</v>
      </c>
      <c r="Q34" s="3"/>
      <c r="R34" s="22">
        <f t="shared" si="14"/>
        <v>0</v>
      </c>
      <c r="S34" s="3"/>
      <c r="T34" s="3">
        <v>6676.92</v>
      </c>
      <c r="U34" s="3"/>
      <c r="V34" s="22">
        <f t="shared" si="15"/>
        <v>3.2105659804698886E-2</v>
      </c>
      <c r="W34" s="3"/>
      <c r="X34" s="3">
        <f t="shared" si="16"/>
        <v>-6676.92</v>
      </c>
      <c r="Y34" s="3"/>
      <c r="Z34" s="22">
        <f t="shared" si="17"/>
        <v>-1</v>
      </c>
    </row>
    <row r="35" spans="1:26" s="24" customFormat="1" hidden="1" outlineLevel="1" x14ac:dyDescent="0.3">
      <c r="A35" s="50"/>
      <c r="B35" s="12" t="str">
        <f>CONCATENATE("          ", "5082", " - ", "PURCHASES @ COST-COMPUTER HARD")</f>
        <v xml:space="preserve">          5082 - PURCHASES @ COST-COMPUTER HARD</v>
      </c>
      <c r="C35" s="12"/>
      <c r="D35" s="3">
        <v>-10902.62</v>
      </c>
      <c r="E35" s="3"/>
      <c r="F35" s="22">
        <f t="shared" si="10"/>
        <v>-0.1143955856013716</v>
      </c>
      <c r="G35" s="3"/>
      <c r="H35" s="3">
        <v>186472.57</v>
      </c>
      <c r="I35" s="3"/>
      <c r="J35" s="22">
        <f t="shared" si="11"/>
        <v>0.89664469475864617</v>
      </c>
      <c r="K35" s="3"/>
      <c r="L35" s="3">
        <f t="shared" si="12"/>
        <v>-197375.19</v>
      </c>
      <c r="M35" s="3"/>
      <c r="N35" s="22">
        <f t="shared" si="13"/>
        <v>-1.0584676877676968</v>
      </c>
      <c r="O35" s="12"/>
      <c r="P35" s="3">
        <v>-10902.62</v>
      </c>
      <c r="Q35" s="3"/>
      <c r="R35" s="22">
        <f t="shared" si="14"/>
        <v>-0.1143955856013716</v>
      </c>
      <c r="S35" s="3"/>
      <c r="T35" s="3">
        <v>186472.57</v>
      </c>
      <c r="U35" s="3"/>
      <c r="V35" s="22">
        <f t="shared" si="15"/>
        <v>0.89664469475864617</v>
      </c>
      <c r="W35" s="3"/>
      <c r="X35" s="3">
        <f t="shared" si="16"/>
        <v>-197375.19</v>
      </c>
      <c r="Y35" s="3"/>
      <c r="Z35" s="22">
        <f t="shared" si="17"/>
        <v>-1.0584676877676968</v>
      </c>
    </row>
    <row r="36" spans="1:26" s="24" customFormat="1" hidden="1" outlineLevel="1" x14ac:dyDescent="0.3">
      <c r="A36" s="50"/>
      <c r="B36" s="12" t="str">
        <f>CONCATENATE("          ", "5083", " - ", "PURCHASES @ COST-COMPUTER EQUI")</f>
        <v xml:space="preserve">          5083 - PURCHASES @ COST-COMPUTER EQUI</v>
      </c>
      <c r="C36" s="12"/>
      <c r="D36" s="3">
        <v>0</v>
      </c>
      <c r="E36" s="3"/>
      <c r="F36" s="22">
        <f t="shared" si="10"/>
        <v>0</v>
      </c>
      <c r="G36" s="3"/>
      <c r="H36" s="3">
        <v>29938.3</v>
      </c>
      <c r="I36" s="3"/>
      <c r="J36" s="22">
        <f t="shared" si="11"/>
        <v>0.14395692548825156</v>
      </c>
      <c r="K36" s="3"/>
      <c r="L36" s="3">
        <f t="shared" si="12"/>
        <v>-29938.3</v>
      </c>
      <c r="M36" s="3"/>
      <c r="N36" s="22">
        <f t="shared" si="13"/>
        <v>-1</v>
      </c>
      <c r="O36" s="12"/>
      <c r="P36" s="3">
        <v>0</v>
      </c>
      <c r="Q36" s="3"/>
      <c r="R36" s="22">
        <f t="shared" si="14"/>
        <v>0</v>
      </c>
      <c r="S36" s="3"/>
      <c r="T36" s="3">
        <v>29938.3</v>
      </c>
      <c r="U36" s="3"/>
      <c r="V36" s="22">
        <f t="shared" si="15"/>
        <v>0.14395692548825156</v>
      </c>
      <c r="W36" s="3"/>
      <c r="X36" s="3">
        <f t="shared" si="16"/>
        <v>-29938.3</v>
      </c>
      <c r="Y36" s="3"/>
      <c r="Z36" s="22">
        <f t="shared" si="17"/>
        <v>-1</v>
      </c>
    </row>
    <row r="37" spans="1:26" s="24" customFormat="1" hidden="1" outlineLevel="1" x14ac:dyDescent="0.3">
      <c r="A37" s="50"/>
      <c r="B37" s="12" t="str">
        <f>CONCATENATE("          ", "5085", " - ", "PURCHASES @ COST-SOFTWARE")</f>
        <v xml:space="preserve">          5085 - PURCHASES @ COST-SOFTWARE</v>
      </c>
      <c r="C37" s="12"/>
      <c r="D37" s="3">
        <v>0</v>
      </c>
      <c r="E37" s="3"/>
      <c r="F37" s="22">
        <f t="shared" si="10"/>
        <v>0</v>
      </c>
      <c r="G37" s="3"/>
      <c r="H37" s="3">
        <v>3864.34</v>
      </c>
      <c r="I37" s="3"/>
      <c r="J37" s="22">
        <f t="shared" si="11"/>
        <v>1.858149946527592E-2</v>
      </c>
      <c r="K37" s="3"/>
      <c r="L37" s="3">
        <f t="shared" si="12"/>
        <v>-3864.34</v>
      </c>
      <c r="M37" s="3"/>
      <c r="N37" s="22">
        <f t="shared" si="13"/>
        <v>-1</v>
      </c>
      <c r="O37" s="12"/>
      <c r="P37" s="3">
        <v>0</v>
      </c>
      <c r="Q37" s="3"/>
      <c r="R37" s="22">
        <f t="shared" si="14"/>
        <v>0</v>
      </c>
      <c r="S37" s="3"/>
      <c r="T37" s="3">
        <v>3864.34</v>
      </c>
      <c r="U37" s="3"/>
      <c r="V37" s="22">
        <f t="shared" si="15"/>
        <v>1.858149946527592E-2</v>
      </c>
      <c r="W37" s="3"/>
      <c r="X37" s="3">
        <f t="shared" si="16"/>
        <v>-3864.34</v>
      </c>
      <c r="Y37" s="3"/>
      <c r="Z37" s="22">
        <f t="shared" si="17"/>
        <v>-1</v>
      </c>
    </row>
    <row r="38" spans="1:26" s="24" customFormat="1" hidden="1" outlineLevel="1" x14ac:dyDescent="0.3">
      <c r="A38" s="50"/>
      <c r="B38" s="12" t="str">
        <f>CONCATENATE("          ", "5086", " - ", "PURCHASES @ COST-COMPUTER SUPP")</f>
        <v xml:space="preserve">          5086 - PURCHASES @ COST-COMPUTER SUPP</v>
      </c>
      <c r="C38" s="12"/>
      <c r="D38" s="3">
        <v>0</v>
      </c>
      <c r="E38" s="3"/>
      <c r="F38" s="22">
        <f t="shared" si="10"/>
        <v>0</v>
      </c>
      <c r="G38" s="3"/>
      <c r="H38" s="3">
        <v>87.25</v>
      </c>
      <c r="I38" s="3"/>
      <c r="J38" s="22">
        <f t="shared" si="11"/>
        <v>4.1953757390533026E-4</v>
      </c>
      <c r="K38" s="3"/>
      <c r="L38" s="3">
        <f t="shared" si="12"/>
        <v>-87.25</v>
      </c>
      <c r="M38" s="3"/>
      <c r="N38" s="22">
        <f t="shared" si="13"/>
        <v>-1</v>
      </c>
      <c r="O38" s="12"/>
      <c r="P38" s="3">
        <v>0</v>
      </c>
      <c r="Q38" s="3"/>
      <c r="R38" s="22">
        <f t="shared" si="14"/>
        <v>0</v>
      </c>
      <c r="S38" s="3"/>
      <c r="T38" s="3">
        <v>87.25</v>
      </c>
      <c r="U38" s="3"/>
      <c r="V38" s="22">
        <f t="shared" si="15"/>
        <v>4.1953757390533026E-4</v>
      </c>
      <c r="W38" s="3"/>
      <c r="X38" s="3">
        <f t="shared" si="16"/>
        <v>-87.25</v>
      </c>
      <c r="Y38" s="3"/>
      <c r="Z38" s="22">
        <f t="shared" si="17"/>
        <v>-1</v>
      </c>
    </row>
    <row r="39" spans="1:26" s="24" customFormat="1" hidden="1" outlineLevel="1" x14ac:dyDescent="0.3">
      <c r="A39" s="50"/>
      <c r="B39" s="12" t="str">
        <f>CONCATENATE("          ", "5200", " - ", "PURCHASES OFFSET")</f>
        <v xml:space="preserve">          5200 - PURCHASES OFFSET</v>
      </c>
      <c r="C39" s="12"/>
      <c r="D39" s="3">
        <v>-97382.65</v>
      </c>
      <c r="E39" s="3"/>
      <c r="F39" s="22">
        <f t="shared" si="10"/>
        <v>-1.0217860729038899</v>
      </c>
      <c r="G39" s="3"/>
      <c r="H39" s="3">
        <v>-227056.77</v>
      </c>
      <c r="I39" s="3"/>
      <c r="J39" s="22">
        <f t="shared" si="11"/>
        <v>-1.0917919360983448</v>
      </c>
      <c r="K39" s="3"/>
      <c r="L39" s="3">
        <f t="shared" si="12"/>
        <v>129674.12</v>
      </c>
      <c r="M39" s="3"/>
      <c r="N39" s="22">
        <f t="shared" si="13"/>
        <v>-0.5711088024373816</v>
      </c>
      <c r="O39" s="12"/>
      <c r="P39" s="3">
        <v>-97382.65</v>
      </c>
      <c r="Q39" s="3"/>
      <c r="R39" s="22">
        <f t="shared" si="14"/>
        <v>-1.0217860729038899</v>
      </c>
      <c r="S39" s="3"/>
      <c r="T39" s="3">
        <v>-227056.77</v>
      </c>
      <c r="U39" s="3"/>
      <c r="V39" s="22">
        <f t="shared" si="15"/>
        <v>-1.0917919360983448</v>
      </c>
      <c r="W39" s="3"/>
      <c r="X39" s="3">
        <f t="shared" si="16"/>
        <v>129674.12</v>
      </c>
      <c r="Y39" s="3"/>
      <c r="Z39" s="22">
        <f t="shared" si="17"/>
        <v>-0.5711088024373816</v>
      </c>
    </row>
    <row r="40" spans="1:26" s="24" customFormat="1" hidden="1" outlineLevel="1" x14ac:dyDescent="0.3">
      <c r="A40" s="50"/>
      <c r="B40" s="12" t="str">
        <f>CONCATENATE("          ", "5300", " - ", "COG$ OFFSET")</f>
        <v xml:space="preserve">          5300 - COG$ OFFSET</v>
      </c>
      <c r="C40" s="12"/>
      <c r="D40" s="3">
        <v>93274.09</v>
      </c>
      <c r="E40" s="3"/>
      <c r="F40" s="22">
        <f t="shared" si="10"/>
        <v>0.97867706541959987</v>
      </c>
      <c r="G40" s="3"/>
      <c r="H40" s="3">
        <v>183956</v>
      </c>
      <c r="I40" s="3"/>
      <c r="J40" s="22">
        <f t="shared" si="11"/>
        <v>0.88454388476021706</v>
      </c>
      <c r="K40" s="3"/>
      <c r="L40" s="3">
        <f t="shared" si="12"/>
        <v>-90681.91</v>
      </c>
      <c r="M40" s="3"/>
      <c r="N40" s="22">
        <f t="shared" si="13"/>
        <v>-0.49295434777881669</v>
      </c>
      <c r="O40" s="12"/>
      <c r="P40" s="3">
        <v>93274.09</v>
      </c>
      <c r="Q40" s="3"/>
      <c r="R40" s="22">
        <f t="shared" si="14"/>
        <v>0.97867706541959987</v>
      </c>
      <c r="S40" s="3"/>
      <c r="T40" s="3">
        <v>183956</v>
      </c>
      <c r="U40" s="3"/>
      <c r="V40" s="22">
        <f t="shared" si="15"/>
        <v>0.88454388476021706</v>
      </c>
      <c r="W40" s="3"/>
      <c r="X40" s="3">
        <f t="shared" si="16"/>
        <v>-90681.91</v>
      </c>
      <c r="Y40" s="3"/>
      <c r="Z40" s="22">
        <f t="shared" si="17"/>
        <v>-0.49295434777881669</v>
      </c>
    </row>
    <row r="41" spans="1:26" s="24" customFormat="1" hidden="1" outlineLevel="1" x14ac:dyDescent="0.3">
      <c r="A41" s="50"/>
      <c r="B41" s="12" t="str">
        <f>CONCATENATE("          ", "5500", " - ", "FREIGHT-IN")</f>
        <v xml:space="preserve">          5500 - FREIGHT-IN</v>
      </c>
      <c r="C41" s="12"/>
      <c r="D41" s="3">
        <v>20.11</v>
      </c>
      <c r="E41" s="3"/>
      <c r="F41" s="22">
        <f t="shared" si="10"/>
        <v>2.1100388956448842E-4</v>
      </c>
      <c r="G41" s="3"/>
      <c r="H41" s="3"/>
      <c r="I41" s="3"/>
      <c r="J41" s="22">
        <f t="shared" si="11"/>
        <v>0</v>
      </c>
      <c r="K41" s="3"/>
      <c r="L41" s="3">
        <f t="shared" si="12"/>
        <v>20.11</v>
      </c>
      <c r="M41" s="3"/>
      <c r="N41" s="22">
        <f t="shared" si="13"/>
        <v>0</v>
      </c>
      <c r="O41" s="12"/>
      <c r="P41" s="3">
        <v>20.11</v>
      </c>
      <c r="Q41" s="3"/>
      <c r="R41" s="22">
        <f t="shared" si="14"/>
        <v>2.1100388956448842E-4</v>
      </c>
      <c r="S41" s="3"/>
      <c r="T41" s="3"/>
      <c r="U41" s="3"/>
      <c r="V41" s="22">
        <f t="shared" si="15"/>
        <v>0</v>
      </c>
      <c r="W41" s="3"/>
      <c r="X41" s="3">
        <f t="shared" si="16"/>
        <v>20.11</v>
      </c>
      <c r="Y41" s="3"/>
      <c r="Z41" s="22">
        <f t="shared" si="17"/>
        <v>0</v>
      </c>
    </row>
    <row r="42" spans="1:26" s="24" customFormat="1" hidden="1" outlineLevel="1" x14ac:dyDescent="0.3">
      <c r="A42" s="50"/>
      <c r="B42" s="12" t="str">
        <f>CONCATENATE("          ", "5583", " - ", "FREIGHT-IN-COMPUTER EQUIPMENT")</f>
        <v xml:space="preserve">          5583 - FREIGHT-IN-COMPUTER EQUIPMENT</v>
      </c>
      <c r="C42" s="12"/>
      <c r="D42" s="3">
        <v>0</v>
      </c>
      <c r="E42" s="3"/>
      <c r="F42" s="22">
        <f t="shared" si="10"/>
        <v>0</v>
      </c>
      <c r="G42" s="3"/>
      <c r="H42" s="3">
        <v>17.39</v>
      </c>
      <c r="I42" s="3"/>
      <c r="J42" s="22">
        <f t="shared" si="11"/>
        <v>8.3619007566919124E-5</v>
      </c>
      <c r="K42" s="3"/>
      <c r="L42" s="3">
        <f t="shared" si="12"/>
        <v>-17.39</v>
      </c>
      <c r="M42" s="3"/>
      <c r="N42" s="22">
        <f t="shared" si="13"/>
        <v>-1</v>
      </c>
      <c r="O42" s="12"/>
      <c r="P42" s="3">
        <v>0</v>
      </c>
      <c r="Q42" s="3"/>
      <c r="R42" s="22">
        <f t="shared" si="14"/>
        <v>0</v>
      </c>
      <c r="S42" s="3"/>
      <c r="T42" s="3">
        <v>17.39</v>
      </c>
      <c r="U42" s="3"/>
      <c r="V42" s="22">
        <f t="shared" si="15"/>
        <v>8.3619007566919124E-5</v>
      </c>
      <c r="W42" s="3"/>
      <c r="X42" s="3">
        <f t="shared" si="16"/>
        <v>-17.39</v>
      </c>
      <c r="Y42" s="3"/>
      <c r="Z42" s="22">
        <f t="shared" si="17"/>
        <v>-1</v>
      </c>
    </row>
    <row r="43" spans="1:26" x14ac:dyDescent="0.3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3">
      <c r="A44" s="10"/>
      <c r="B44" s="26" t="s">
        <v>107</v>
      </c>
      <c r="C44" s="26"/>
      <c r="D44" s="20">
        <f>D12-D32</f>
        <v>12934.829999999987</v>
      </c>
      <c r="E44" s="13"/>
      <c r="F44" s="21">
        <f>IF(D$12=0,0,D44/D$12)</f>
        <v>0.13571852018177172</v>
      </c>
      <c r="G44" s="13"/>
      <c r="H44" s="20">
        <f>H12-H32</f>
        <v>24011.069999999978</v>
      </c>
      <c r="I44" s="13"/>
      <c r="J44" s="21">
        <f>IF(H$12=0,0,H44/H$12)</f>
        <v>0.1154561152397828</v>
      </c>
      <c r="K44" s="16"/>
      <c r="L44" s="20">
        <f>+D44-H44</f>
        <v>-11076.239999999991</v>
      </c>
      <c r="M44" s="16"/>
      <c r="N44" s="21">
        <f>IF(H44=0,0,L44/H44)</f>
        <v>-0.46129722665420581</v>
      </c>
      <c r="O44" s="25"/>
      <c r="P44" s="20">
        <f>P12-P32</f>
        <v>12934.829999999987</v>
      </c>
      <c r="Q44" s="13"/>
      <c r="R44" s="21">
        <f>IF(P$12=0,0,P44/P$12)</f>
        <v>0.13571852018177172</v>
      </c>
      <c r="S44" s="13"/>
      <c r="T44" s="20">
        <f>T12-T32</f>
        <v>24011.069999999978</v>
      </c>
      <c r="U44" s="13"/>
      <c r="V44" s="21">
        <f>IF(T$12=0,0,T44/T$12)</f>
        <v>0.1154561152397828</v>
      </c>
      <c r="W44" s="16"/>
      <c r="X44" s="20">
        <f>+P44-T44</f>
        <v>-11076.239999999991</v>
      </c>
      <c r="Y44" s="16"/>
      <c r="Z44" s="21">
        <f>IF(T44=0,0,X44/T44)</f>
        <v>-0.46129722665420581</v>
      </c>
    </row>
    <row r="45" spans="1:26" x14ac:dyDescent="0.3">
      <c r="A45" s="9"/>
      <c r="B45" s="10"/>
      <c r="C45" s="9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294</v>
      </c>
      <c r="C46" s="10"/>
      <c r="D46" s="19">
        <f>SUM(OSRRefD22x_0)</f>
        <v>16884.670000000002</v>
      </c>
      <c r="E46" s="19"/>
      <c r="F46" s="35">
        <f t="shared" ref="F46:F56" si="18">IF(D$12=0,0,D46/D$12)</f>
        <v>0.17716216031888768</v>
      </c>
      <c r="G46" s="19"/>
      <c r="H46" s="19">
        <f>SUM(OSRRefH22x_0)</f>
        <v>11779.660000000002</v>
      </c>
      <c r="I46" s="19"/>
      <c r="J46" s="35">
        <f t="shared" ref="J46:J56" si="19">IF(H$12=0,0,H46/H$12)</f>
        <v>5.6641948169967489E-2</v>
      </c>
      <c r="K46" s="4"/>
      <c r="L46" s="19">
        <f t="shared" ref="L46:L56" si="20">+D46-H46</f>
        <v>5105.01</v>
      </c>
      <c r="M46" s="4"/>
      <c r="N46" s="35">
        <f t="shared" ref="N46:N56" si="21">IF(H46=0,0,L46/H46)</f>
        <v>0.43337498705395566</v>
      </c>
      <c r="O46" s="10"/>
      <c r="P46" s="19">
        <f>SUM(OSRRefP22x_0)</f>
        <v>16884.670000000002</v>
      </c>
      <c r="Q46" s="19"/>
      <c r="R46" s="35">
        <f t="shared" ref="R46:R56" si="22">IF(P$12=0,0,P46/P$12)</f>
        <v>0.17716216031888768</v>
      </c>
      <c r="S46" s="19"/>
      <c r="T46" s="19">
        <f>SUM(OSRRefT22x_0)</f>
        <v>11779.660000000002</v>
      </c>
      <c r="U46" s="19"/>
      <c r="V46" s="35">
        <f t="shared" ref="V46:V56" si="23">IF(T$12=0,0,T46/T$12)</f>
        <v>5.6641948169967489E-2</v>
      </c>
      <c r="W46" s="4"/>
      <c r="X46" s="19">
        <f t="shared" ref="X46:X56" si="24">+P46-T46</f>
        <v>5105.01</v>
      </c>
      <c r="Y46" s="4"/>
      <c r="Z46" s="35">
        <f t="shared" ref="Z46:Z56" si="25">IF(T46=0,0,X46/T46)</f>
        <v>0.43337498705395566</v>
      </c>
    </row>
    <row r="47" spans="1:26" s="29" customFormat="1" outlineLevel="1" collapsed="1" x14ac:dyDescent="0.3">
      <c r="A47" s="28"/>
      <c r="B47" s="14" t="str">
        <f>CONCATENATE("     ","*Benefits                                         ")</f>
        <v xml:space="preserve">     *Benefits                                         </v>
      </c>
      <c r="C47" s="14"/>
      <c r="D47" s="1">
        <f>SUM(OSRRefD22_0x_0)</f>
        <v>2159.6000000000004</v>
      </c>
      <c r="E47" s="1"/>
      <c r="F47" s="5">
        <f t="shared" si="18"/>
        <v>2.2659572347263512E-2</v>
      </c>
      <c r="G47" s="1"/>
      <c r="H47" s="1">
        <f>SUM(OSRRefH22_0x_0)</f>
        <v>2728.3700000000003</v>
      </c>
      <c r="I47" s="1"/>
      <c r="J47" s="5">
        <f t="shared" si="19"/>
        <v>1.311924046436775E-2</v>
      </c>
      <c r="K47" s="1"/>
      <c r="L47" s="1">
        <f t="shared" si="20"/>
        <v>-568.77</v>
      </c>
      <c r="M47" s="1"/>
      <c r="N47" s="5">
        <f t="shared" si="21"/>
        <v>-0.20846512753035693</v>
      </c>
      <c r="O47" s="14"/>
      <c r="P47" s="1">
        <f>SUM(OSRRefP22_0x_0)</f>
        <v>2159.6000000000004</v>
      </c>
      <c r="Q47" s="1"/>
      <c r="R47" s="5">
        <f t="shared" si="22"/>
        <v>2.2659572347263512E-2</v>
      </c>
      <c r="S47" s="1"/>
      <c r="T47" s="1">
        <f>SUM(OSRRefT22_0x_0)</f>
        <v>2728.3700000000003</v>
      </c>
      <c r="U47" s="1"/>
      <c r="V47" s="5">
        <f t="shared" si="23"/>
        <v>1.311924046436775E-2</v>
      </c>
      <c r="W47" s="1"/>
      <c r="X47" s="1">
        <f t="shared" si="24"/>
        <v>-568.77</v>
      </c>
      <c r="Y47" s="1"/>
      <c r="Z47" s="5">
        <f t="shared" si="25"/>
        <v>-0.20846512753035693</v>
      </c>
    </row>
    <row r="48" spans="1:26" s="24" customFormat="1" hidden="1" outlineLevel="2" x14ac:dyDescent="0.3">
      <c r="A48" s="27"/>
      <c r="B48" s="12" t="str">
        <f>CONCATENATE("          ", "6111", " - ", "F.I.C.A.")</f>
        <v xml:space="preserve">          6111 - F.I.C.A.</v>
      </c>
      <c r="C48" s="12"/>
      <c r="D48" s="8">
        <v>653.55999999999995</v>
      </c>
      <c r="E48" s="3"/>
      <c r="F48" s="7">
        <f t="shared" si="18"/>
        <v>6.8574690235587788E-3</v>
      </c>
      <c r="G48" s="3"/>
      <c r="H48" s="8">
        <v>419.8</v>
      </c>
      <c r="I48" s="3"/>
      <c r="J48" s="7">
        <f t="shared" si="19"/>
        <v>2.0185888083147012E-3</v>
      </c>
      <c r="K48" s="3"/>
      <c r="L48" s="8">
        <f t="shared" si="20"/>
        <v>233.75999999999993</v>
      </c>
      <c r="M48" s="3"/>
      <c r="N48" s="7">
        <f t="shared" si="21"/>
        <v>0.55683658885183407</v>
      </c>
      <c r="O48" s="12"/>
      <c r="P48" s="8">
        <v>653.55999999999995</v>
      </c>
      <c r="Q48" s="3"/>
      <c r="R48" s="7">
        <f t="shared" si="22"/>
        <v>6.8574690235587788E-3</v>
      </c>
      <c r="S48" s="3"/>
      <c r="T48" s="8">
        <v>419.8</v>
      </c>
      <c r="U48" s="3"/>
      <c r="V48" s="7">
        <f t="shared" si="23"/>
        <v>2.0185888083147012E-3</v>
      </c>
      <c r="W48" s="3"/>
      <c r="X48" s="8">
        <f t="shared" si="24"/>
        <v>233.75999999999993</v>
      </c>
      <c r="Y48" s="3"/>
      <c r="Z48" s="7">
        <f t="shared" si="25"/>
        <v>0.55683658885183407</v>
      </c>
    </row>
    <row r="49" spans="1:26" s="24" customFormat="1" hidden="1" outlineLevel="2" x14ac:dyDescent="0.3">
      <c r="A49" s="27"/>
      <c r="B49" s="12" t="str">
        <f>CONCATENATE("          ", "6112", " - ", "COMPENSATION INSURANCE")</f>
        <v xml:space="preserve">          6112 - COMPENSATION INSURANCE</v>
      </c>
      <c r="C49" s="12"/>
      <c r="D49" s="8">
        <v>177.36</v>
      </c>
      <c r="E49" s="3"/>
      <c r="F49" s="7">
        <f t="shared" si="18"/>
        <v>1.8609472826035638E-3</v>
      </c>
      <c r="G49" s="3"/>
      <c r="H49" s="8">
        <v>53.05</v>
      </c>
      <c r="I49" s="3"/>
      <c r="J49" s="7">
        <f t="shared" si="19"/>
        <v>2.5508846184157903E-4</v>
      </c>
      <c r="K49" s="3"/>
      <c r="L49" s="8">
        <f t="shared" si="20"/>
        <v>124.31000000000002</v>
      </c>
      <c r="M49" s="3"/>
      <c r="N49" s="7">
        <f t="shared" si="21"/>
        <v>2.3432610744580589</v>
      </c>
      <c r="O49" s="12"/>
      <c r="P49" s="8">
        <v>177.36</v>
      </c>
      <c r="Q49" s="3"/>
      <c r="R49" s="7">
        <f t="shared" si="22"/>
        <v>1.8609472826035638E-3</v>
      </c>
      <c r="S49" s="3"/>
      <c r="T49" s="8">
        <v>53.05</v>
      </c>
      <c r="U49" s="3"/>
      <c r="V49" s="7">
        <f t="shared" si="23"/>
        <v>2.5508846184157903E-4</v>
      </c>
      <c r="W49" s="3"/>
      <c r="X49" s="8">
        <f t="shared" si="24"/>
        <v>124.31000000000002</v>
      </c>
      <c r="Y49" s="3"/>
      <c r="Z49" s="7">
        <f t="shared" si="25"/>
        <v>2.3432610744580589</v>
      </c>
    </row>
    <row r="50" spans="1:26" s="24" customFormat="1" hidden="1" outlineLevel="2" x14ac:dyDescent="0.3">
      <c r="A50" s="27"/>
      <c r="B50" s="12" t="str">
        <f>CONCATENATE("          ", "6113", " - ", "GROUP INSURANCE")</f>
        <v xml:space="preserve">          6113 - GROUP INSURANCE</v>
      </c>
      <c r="C50" s="12"/>
      <c r="D50" s="8">
        <v>828.27</v>
      </c>
      <c r="E50" s="3"/>
      <c r="F50" s="7">
        <f t="shared" si="18"/>
        <v>8.6906112187756755E-3</v>
      </c>
      <c r="G50" s="3"/>
      <c r="H50" s="8">
        <v>1035.69</v>
      </c>
      <c r="I50" s="3"/>
      <c r="J50" s="7">
        <f t="shared" si="19"/>
        <v>4.9800672769972666E-3</v>
      </c>
      <c r="K50" s="3"/>
      <c r="L50" s="8">
        <f t="shared" si="20"/>
        <v>-207.42000000000007</v>
      </c>
      <c r="M50" s="3"/>
      <c r="N50" s="7">
        <f t="shared" si="21"/>
        <v>-0.20027228224661825</v>
      </c>
      <c r="O50" s="12"/>
      <c r="P50" s="8">
        <v>828.27</v>
      </c>
      <c r="Q50" s="3"/>
      <c r="R50" s="7">
        <f t="shared" si="22"/>
        <v>8.6906112187756755E-3</v>
      </c>
      <c r="S50" s="3"/>
      <c r="T50" s="8">
        <v>1035.69</v>
      </c>
      <c r="U50" s="3"/>
      <c r="V50" s="7">
        <f t="shared" si="23"/>
        <v>4.9800672769972666E-3</v>
      </c>
      <c r="W50" s="3"/>
      <c r="X50" s="8">
        <f t="shared" si="24"/>
        <v>-207.42000000000007</v>
      </c>
      <c r="Y50" s="3"/>
      <c r="Z50" s="7">
        <f t="shared" si="25"/>
        <v>-0.20027228224661825</v>
      </c>
    </row>
    <row r="51" spans="1:26" s="24" customFormat="1" hidden="1" outlineLevel="2" x14ac:dyDescent="0.3">
      <c r="A51" s="27"/>
      <c r="B51" s="12" t="str">
        <f>CONCATENATE("          ", "6114", " - ", "STATE UNEMPLOYMENT INSURANCE")</f>
        <v xml:space="preserve">          6114 - STATE UNEMPLOYMENT INSURANCE</v>
      </c>
      <c r="C51" s="12"/>
      <c r="D51" s="8">
        <v>31.16</v>
      </c>
      <c r="E51" s="3"/>
      <c r="F51" s="7">
        <f t="shared" si="18"/>
        <v>3.2694585772399099E-4</v>
      </c>
      <c r="G51" s="3"/>
      <c r="H51" s="8">
        <v>14.46</v>
      </c>
      <c r="I51" s="3"/>
      <c r="J51" s="7">
        <f t="shared" si="19"/>
        <v>6.9530238609410611E-5</v>
      </c>
      <c r="K51" s="3"/>
      <c r="L51" s="8">
        <f t="shared" si="20"/>
        <v>16.7</v>
      </c>
      <c r="M51" s="3"/>
      <c r="N51" s="7">
        <f t="shared" si="21"/>
        <v>1.1549100968188104</v>
      </c>
      <c r="O51" s="12"/>
      <c r="P51" s="8">
        <v>31.16</v>
      </c>
      <c r="Q51" s="3"/>
      <c r="R51" s="7">
        <f t="shared" si="22"/>
        <v>3.2694585772399099E-4</v>
      </c>
      <c r="S51" s="3"/>
      <c r="T51" s="8">
        <v>14.46</v>
      </c>
      <c r="U51" s="3"/>
      <c r="V51" s="7">
        <f t="shared" si="23"/>
        <v>6.9530238609410611E-5</v>
      </c>
      <c r="W51" s="3"/>
      <c r="X51" s="8">
        <f t="shared" si="24"/>
        <v>16.7</v>
      </c>
      <c r="Y51" s="3"/>
      <c r="Z51" s="7">
        <f t="shared" si="25"/>
        <v>1.1549100968188104</v>
      </c>
    </row>
    <row r="52" spans="1:26" s="24" customFormat="1" hidden="1" outlineLevel="2" x14ac:dyDescent="0.3">
      <c r="A52" s="27"/>
      <c r="B52" s="12" t="str">
        <f>CONCATENATE("          ", "6115", " - ", "P.E.R.S.")</f>
        <v xml:space="preserve">          6115 - P.E.R.S.</v>
      </c>
      <c r="C52" s="12"/>
      <c r="D52" s="8">
        <v>133.9</v>
      </c>
      <c r="E52" s="3"/>
      <c r="F52" s="7">
        <f t="shared" si="18"/>
        <v>1.4049438494622079E-3</v>
      </c>
      <c r="G52" s="3"/>
      <c r="H52" s="8">
        <v>264.63</v>
      </c>
      <c r="I52" s="3"/>
      <c r="J52" s="7">
        <f t="shared" si="19"/>
        <v>1.2724610679950435E-3</v>
      </c>
      <c r="K52" s="3"/>
      <c r="L52" s="8">
        <f t="shared" si="20"/>
        <v>-130.72999999999999</v>
      </c>
      <c r="M52" s="3"/>
      <c r="N52" s="7">
        <f t="shared" si="21"/>
        <v>-0.49401050523372253</v>
      </c>
      <c r="O52" s="12"/>
      <c r="P52" s="8">
        <v>133.9</v>
      </c>
      <c r="Q52" s="3"/>
      <c r="R52" s="7">
        <f t="shared" si="22"/>
        <v>1.4049438494622079E-3</v>
      </c>
      <c r="S52" s="3"/>
      <c r="T52" s="8">
        <v>264.63</v>
      </c>
      <c r="U52" s="3"/>
      <c r="V52" s="7">
        <f t="shared" si="23"/>
        <v>1.2724610679950435E-3</v>
      </c>
      <c r="W52" s="3"/>
      <c r="X52" s="8">
        <f t="shared" si="24"/>
        <v>-130.72999999999999</v>
      </c>
      <c r="Y52" s="3"/>
      <c r="Z52" s="7">
        <f t="shared" si="25"/>
        <v>-0.49401050523372253</v>
      </c>
    </row>
    <row r="53" spans="1:26" s="24" customFormat="1" hidden="1" outlineLevel="2" x14ac:dyDescent="0.3">
      <c r="A53" s="27"/>
      <c r="B53" s="12" t="str">
        <f>CONCATENATE("          ", "6117", " - ", "RETIREMENT STAFF HOURLY")</f>
        <v xml:space="preserve">          6117 - RETIREMENT STAFF HOURLY</v>
      </c>
      <c r="C53" s="12"/>
      <c r="D53" s="8">
        <v>162.69999999999999</v>
      </c>
      <c r="E53" s="3"/>
      <c r="F53" s="7">
        <f t="shared" si="18"/>
        <v>1.7071274406833547E-3</v>
      </c>
      <c r="G53" s="3"/>
      <c r="H53" s="8">
        <v>247.54</v>
      </c>
      <c r="I53" s="3"/>
      <c r="J53" s="7">
        <f t="shared" si="19"/>
        <v>1.190284596498859E-3</v>
      </c>
      <c r="K53" s="3"/>
      <c r="L53" s="8">
        <f t="shared" si="20"/>
        <v>-84.84</v>
      </c>
      <c r="M53" s="3"/>
      <c r="N53" s="7">
        <f t="shared" si="21"/>
        <v>-0.34273248767875902</v>
      </c>
      <c r="O53" s="12"/>
      <c r="P53" s="8">
        <v>162.69999999999999</v>
      </c>
      <c r="Q53" s="3"/>
      <c r="R53" s="7">
        <f t="shared" si="22"/>
        <v>1.7071274406833547E-3</v>
      </c>
      <c r="S53" s="3"/>
      <c r="T53" s="8">
        <v>247.54</v>
      </c>
      <c r="U53" s="3"/>
      <c r="V53" s="7">
        <f t="shared" si="23"/>
        <v>1.190284596498859E-3</v>
      </c>
      <c r="W53" s="3"/>
      <c r="X53" s="8">
        <f t="shared" si="24"/>
        <v>-84.84</v>
      </c>
      <c r="Y53" s="3"/>
      <c r="Z53" s="7">
        <f t="shared" si="25"/>
        <v>-0.34273248767875902</v>
      </c>
    </row>
    <row r="54" spans="1:26" s="24" customFormat="1" hidden="1" outlineLevel="2" x14ac:dyDescent="0.3">
      <c r="A54" s="27"/>
      <c r="B54" s="12" t="str">
        <f>CONCATENATE("          ", "6118", " - ", "VACATION")</f>
        <v xml:space="preserve">          6118 - VACATION</v>
      </c>
      <c r="C54" s="12"/>
      <c r="D54" s="8">
        <v>67.760000000000005</v>
      </c>
      <c r="E54" s="3"/>
      <c r="F54" s="7">
        <f t="shared" si="18"/>
        <v>7.1097083823419875E-4</v>
      </c>
      <c r="G54" s="3"/>
      <c r="H54" s="8">
        <v>257.8</v>
      </c>
      <c r="I54" s="3"/>
      <c r="J54" s="7">
        <f t="shared" si="19"/>
        <v>1.2396193301179846E-3</v>
      </c>
      <c r="K54" s="3"/>
      <c r="L54" s="8">
        <f t="shared" si="20"/>
        <v>-190.04000000000002</v>
      </c>
      <c r="M54" s="3"/>
      <c r="N54" s="7">
        <f t="shared" si="21"/>
        <v>-0.7371605896043445</v>
      </c>
      <c r="O54" s="12"/>
      <c r="P54" s="8">
        <v>67.760000000000005</v>
      </c>
      <c r="Q54" s="3"/>
      <c r="R54" s="7">
        <f t="shared" si="22"/>
        <v>7.1097083823419875E-4</v>
      </c>
      <c r="S54" s="3"/>
      <c r="T54" s="8">
        <v>257.8</v>
      </c>
      <c r="U54" s="3"/>
      <c r="V54" s="7">
        <f t="shared" si="23"/>
        <v>1.2396193301179846E-3</v>
      </c>
      <c r="W54" s="3"/>
      <c r="X54" s="8">
        <f t="shared" si="24"/>
        <v>-190.04000000000002</v>
      </c>
      <c r="Y54" s="3"/>
      <c r="Z54" s="7">
        <f t="shared" si="25"/>
        <v>-0.7371605896043445</v>
      </c>
    </row>
    <row r="55" spans="1:26" s="24" customFormat="1" hidden="1" outlineLevel="2" x14ac:dyDescent="0.3">
      <c r="A55" s="27"/>
      <c r="B55" s="12" t="str">
        <f>CONCATENATE("          ", "6119", " - ", "SICK LEAVE")</f>
        <v xml:space="preserve">          6119 - SICK LEAVE</v>
      </c>
      <c r="C55" s="12"/>
      <c r="D55" s="8">
        <v>81.180000000000007</v>
      </c>
      <c r="E55" s="3"/>
      <c r="F55" s="7">
        <f t="shared" si="18"/>
        <v>8.517799977546082E-4</v>
      </c>
      <c r="G55" s="3"/>
      <c r="H55" s="8">
        <v>256.57</v>
      </c>
      <c r="I55" s="3"/>
      <c r="J55" s="7">
        <f t="shared" si="19"/>
        <v>1.2337049322279723E-3</v>
      </c>
      <c r="K55" s="3"/>
      <c r="L55" s="8">
        <f t="shared" si="20"/>
        <v>-175.39</v>
      </c>
      <c r="M55" s="3"/>
      <c r="N55" s="7">
        <f t="shared" si="21"/>
        <v>-0.68359512024009039</v>
      </c>
      <c r="O55" s="12"/>
      <c r="P55" s="8">
        <v>81.180000000000007</v>
      </c>
      <c r="Q55" s="3"/>
      <c r="R55" s="7">
        <f t="shared" si="22"/>
        <v>8.517799977546082E-4</v>
      </c>
      <c r="S55" s="3"/>
      <c r="T55" s="8">
        <v>256.57</v>
      </c>
      <c r="U55" s="3"/>
      <c r="V55" s="7">
        <f t="shared" si="23"/>
        <v>1.2337049322279723E-3</v>
      </c>
      <c r="W55" s="3"/>
      <c r="X55" s="8">
        <f t="shared" si="24"/>
        <v>-175.39</v>
      </c>
      <c r="Y55" s="3"/>
      <c r="Z55" s="7">
        <f t="shared" si="25"/>
        <v>-0.68359512024009039</v>
      </c>
    </row>
    <row r="56" spans="1:26" s="24" customFormat="1" hidden="1" outlineLevel="2" x14ac:dyDescent="0.3">
      <c r="A56" s="27"/>
      <c r="B56" s="12" t="str">
        <f>CONCATENATE("          ", "6156", " - ", "EMPLOYEE MEALS")</f>
        <v xml:space="preserve">          6156 - EMPLOYEE MEALS</v>
      </c>
      <c r="C56" s="12"/>
      <c r="D56" s="8">
        <v>23.71</v>
      </c>
      <c r="E56" s="3"/>
      <c r="F56" s="7">
        <f t="shared" si="18"/>
        <v>2.487768384671318E-4</v>
      </c>
      <c r="G56" s="3"/>
      <c r="H56" s="8">
        <v>178.83</v>
      </c>
      <c r="I56" s="3"/>
      <c r="J56" s="7">
        <f t="shared" si="19"/>
        <v>8.5989575176493086E-4</v>
      </c>
      <c r="K56" s="3"/>
      <c r="L56" s="8">
        <f t="shared" si="20"/>
        <v>-155.12</v>
      </c>
      <c r="M56" s="3"/>
      <c r="N56" s="7">
        <f t="shared" si="21"/>
        <v>-0.86741598165855838</v>
      </c>
      <c r="O56" s="12"/>
      <c r="P56" s="8">
        <v>23.71</v>
      </c>
      <c r="Q56" s="3"/>
      <c r="R56" s="7">
        <f t="shared" si="22"/>
        <v>2.487768384671318E-4</v>
      </c>
      <c r="S56" s="3"/>
      <c r="T56" s="8">
        <v>178.83</v>
      </c>
      <c r="U56" s="3"/>
      <c r="V56" s="7">
        <f t="shared" si="23"/>
        <v>8.5989575176493086E-4</v>
      </c>
      <c r="W56" s="3"/>
      <c r="X56" s="8">
        <f t="shared" si="24"/>
        <v>-155.12</v>
      </c>
      <c r="Y56" s="3"/>
      <c r="Z56" s="7">
        <f t="shared" si="25"/>
        <v>-0.86741598165855838</v>
      </c>
    </row>
    <row r="57" spans="1:26" s="29" customFormat="1" outlineLevel="1" collapsed="1" x14ac:dyDescent="0.3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10510.92</v>
      </c>
      <c r="E57" s="1"/>
      <c r="F57" s="5">
        <f t="shared" ref="F57:F60" si="26">IF(D$12=0,0,D57/D$12)</f>
        <v>0.11028567891104787</v>
      </c>
      <c r="G57" s="1"/>
      <c r="H57" s="1">
        <f>SUM(OSRRefH22_1x_0)</f>
        <v>6417.82</v>
      </c>
      <c r="I57" s="1"/>
      <c r="J57" s="5">
        <f t="shared" ref="J57:J60" si="27">IF(H$12=0,0,H57/H$12)</f>
        <v>3.0859789484941051E-2</v>
      </c>
      <c r="K57" s="1"/>
      <c r="L57" s="1">
        <f t="shared" ref="L57:L60" si="28">+D57-H57</f>
        <v>4093.1000000000004</v>
      </c>
      <c r="M57" s="1"/>
      <c r="N57" s="5">
        <f t="shared" ref="N57:N60" si="29">IF(H57=0,0,L57/H57)</f>
        <v>0.63777108114593439</v>
      </c>
      <c r="O57" s="14"/>
      <c r="P57" s="1">
        <f>SUM(OSRRefP22_1x_0)</f>
        <v>10510.92</v>
      </c>
      <c r="Q57" s="1"/>
      <c r="R57" s="5">
        <f t="shared" ref="R57:R60" si="30">IF(P$12=0,0,P57/P$12)</f>
        <v>0.11028567891104787</v>
      </c>
      <c r="S57" s="1"/>
      <c r="T57" s="1">
        <f>SUM(OSRRefT22_1x_0)</f>
        <v>6417.82</v>
      </c>
      <c r="U57" s="1"/>
      <c r="V57" s="5">
        <f t="shared" ref="V57:V60" si="31">IF(T$12=0,0,T57/T$12)</f>
        <v>3.0859789484941051E-2</v>
      </c>
      <c r="W57" s="1"/>
      <c r="X57" s="1">
        <f t="shared" ref="X57:X60" si="32">+P57-T57</f>
        <v>4093.1000000000004</v>
      </c>
      <c r="Y57" s="1"/>
      <c r="Z57" s="5">
        <f t="shared" ref="Z57:Z60" si="33">IF(T57=0,0,X57/T57)</f>
        <v>0.63777108114593439</v>
      </c>
    </row>
    <row r="58" spans="1:26" s="24" customFormat="1" hidden="1" outlineLevel="2" x14ac:dyDescent="0.3">
      <c r="A58" s="27"/>
      <c r="B58" s="12" t="str">
        <f>CONCATENATE("          ", "6002", " - ", "STAFF SALARIES")</f>
        <v xml:space="preserve">          6002 - STAFF SALARIES</v>
      </c>
      <c r="C58" s="12"/>
      <c r="D58" s="8">
        <v>5113.92</v>
      </c>
      <c r="E58" s="3"/>
      <c r="F58" s="7">
        <f t="shared" si="26"/>
        <v>5.365773301450167E-2</v>
      </c>
      <c r="G58" s="3"/>
      <c r="H58" s="8">
        <v>2625.07</v>
      </c>
      <c r="I58" s="3"/>
      <c r="J58" s="7">
        <f t="shared" si="27"/>
        <v>1.2622527210678114E-2</v>
      </c>
      <c r="K58" s="3"/>
      <c r="L58" s="8">
        <f t="shared" si="28"/>
        <v>2488.85</v>
      </c>
      <c r="M58" s="3"/>
      <c r="N58" s="7">
        <f t="shared" si="29"/>
        <v>0.94810805045198787</v>
      </c>
      <c r="O58" s="12"/>
      <c r="P58" s="8">
        <v>5113.92</v>
      </c>
      <c r="Q58" s="3"/>
      <c r="R58" s="7">
        <f t="shared" si="30"/>
        <v>5.365773301450167E-2</v>
      </c>
      <c r="S58" s="3"/>
      <c r="T58" s="8">
        <v>2625.07</v>
      </c>
      <c r="U58" s="3"/>
      <c r="V58" s="7">
        <f t="shared" si="31"/>
        <v>1.2622527210678114E-2</v>
      </c>
      <c r="W58" s="3"/>
      <c r="X58" s="8">
        <f t="shared" si="32"/>
        <v>2488.85</v>
      </c>
      <c r="Y58" s="3"/>
      <c r="Z58" s="7">
        <f t="shared" si="33"/>
        <v>0.94810805045198787</v>
      </c>
    </row>
    <row r="59" spans="1:26" s="24" customFormat="1" hidden="1" outlineLevel="2" x14ac:dyDescent="0.3">
      <c r="A59" s="27"/>
      <c r="B59" s="12" t="str">
        <f>CONCATENATE("          ", "6004", " - ", "STAFF HOURLY")</f>
        <v xml:space="preserve">          6004 - STAFF HOURLY</v>
      </c>
      <c r="C59" s="12"/>
      <c r="D59" s="8">
        <v>610.5</v>
      </c>
      <c r="E59" s="3"/>
      <c r="F59" s="7">
        <f t="shared" si="26"/>
        <v>6.4056625847399391E-3</v>
      </c>
      <c r="G59" s="3"/>
      <c r="H59" s="8">
        <v>3023.75</v>
      </c>
      <c r="I59" s="3"/>
      <c r="J59" s="7">
        <f t="shared" si="27"/>
        <v>1.4539561479613093E-2</v>
      </c>
      <c r="K59" s="3"/>
      <c r="L59" s="8">
        <f t="shared" si="28"/>
        <v>-2413.25</v>
      </c>
      <c r="M59" s="3"/>
      <c r="N59" s="7">
        <f t="shared" si="29"/>
        <v>-0.7980983877635387</v>
      </c>
      <c r="O59" s="12"/>
      <c r="P59" s="8">
        <v>610.5</v>
      </c>
      <c r="Q59" s="3"/>
      <c r="R59" s="7">
        <f t="shared" si="30"/>
        <v>6.4056625847399391E-3</v>
      </c>
      <c r="S59" s="3"/>
      <c r="T59" s="8">
        <v>3023.75</v>
      </c>
      <c r="U59" s="3"/>
      <c r="V59" s="7">
        <f t="shared" si="31"/>
        <v>1.4539561479613093E-2</v>
      </c>
      <c r="W59" s="3"/>
      <c r="X59" s="8">
        <f t="shared" si="32"/>
        <v>-2413.25</v>
      </c>
      <c r="Y59" s="3"/>
      <c r="Z59" s="7">
        <f t="shared" si="33"/>
        <v>-0.7980983877635387</v>
      </c>
    </row>
    <row r="60" spans="1:26" s="24" customFormat="1" hidden="1" outlineLevel="2" x14ac:dyDescent="0.3">
      <c r="A60" s="27"/>
      <c r="B60" s="12" t="str">
        <f>CONCATENATE("          ", "6007", " - ", "STUDENT HOURLY")</f>
        <v xml:space="preserve">          6007 - STUDENT HOURLY</v>
      </c>
      <c r="C60" s="12"/>
      <c r="D60" s="8">
        <v>4786.5</v>
      </c>
      <c r="E60" s="3"/>
      <c r="F60" s="7">
        <f t="shared" si="26"/>
        <v>5.0222283311806254E-2</v>
      </c>
      <c r="G60" s="3"/>
      <c r="H60" s="8">
        <v>769</v>
      </c>
      <c r="I60" s="3"/>
      <c r="J60" s="7">
        <f t="shared" si="27"/>
        <v>3.697700794649845E-3</v>
      </c>
      <c r="K60" s="3"/>
      <c r="L60" s="8">
        <f t="shared" si="28"/>
        <v>4017.5</v>
      </c>
      <c r="M60" s="3"/>
      <c r="N60" s="7">
        <f t="shared" si="29"/>
        <v>5.2243172951885564</v>
      </c>
      <c r="O60" s="12"/>
      <c r="P60" s="8">
        <v>4786.5</v>
      </c>
      <c r="Q60" s="3"/>
      <c r="R60" s="7">
        <f t="shared" si="30"/>
        <v>5.0222283311806254E-2</v>
      </c>
      <c r="S60" s="3"/>
      <c r="T60" s="8">
        <v>769</v>
      </c>
      <c r="U60" s="3"/>
      <c r="V60" s="7">
        <f t="shared" si="31"/>
        <v>3.697700794649845E-3</v>
      </c>
      <c r="W60" s="3"/>
      <c r="X60" s="8">
        <f t="shared" si="32"/>
        <v>4017.5</v>
      </c>
      <c r="Y60" s="3"/>
      <c r="Z60" s="7">
        <f t="shared" si="33"/>
        <v>5.2243172951885564</v>
      </c>
    </row>
    <row r="61" spans="1:26" s="29" customFormat="1" outlineLevel="1" collapsed="1" x14ac:dyDescent="0.3">
      <c r="A61" s="28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45.42</v>
      </c>
      <c r="E61" s="1"/>
      <c r="F61" s="5">
        <f t="shared" ref="F61:F69" si="34">IF(D$12=0,0,D61/D$12)</f>
        <v>4.7656870532168395E-4</v>
      </c>
      <c r="G61" s="1"/>
      <c r="H61" s="1">
        <f>SUM(OSRRefH22_2x_0)</f>
        <v>149.65</v>
      </c>
      <c r="I61" s="1"/>
      <c r="J61" s="5">
        <f t="shared" ref="J61:J69" si="35">IF(H$12=0,0,H61/H$12)</f>
        <v>7.1958507661813958E-4</v>
      </c>
      <c r="K61" s="1"/>
      <c r="L61" s="1">
        <f t="shared" ref="L61:L69" si="36">+D61-H61</f>
        <v>-104.23</v>
      </c>
      <c r="M61" s="1"/>
      <c r="N61" s="5">
        <f t="shared" ref="N61:N69" si="37">IF(H61=0,0,L61/H61)</f>
        <v>-0.69649181423321083</v>
      </c>
      <c r="O61" s="14"/>
      <c r="P61" s="1">
        <f>SUM(OSRRefP22_2x_0)</f>
        <v>45.42</v>
      </c>
      <c r="Q61" s="1"/>
      <c r="R61" s="5">
        <f t="shared" ref="R61:R69" si="38">IF(P$12=0,0,P61/P$12)</f>
        <v>4.7656870532168395E-4</v>
      </c>
      <c r="S61" s="1"/>
      <c r="T61" s="1">
        <f>SUM(OSRRefT22_2x_0)</f>
        <v>149.65</v>
      </c>
      <c r="U61" s="1"/>
      <c r="V61" s="5">
        <f t="shared" ref="V61:V69" si="39">IF(T$12=0,0,T61/T$12)</f>
        <v>7.1958507661813958E-4</v>
      </c>
      <c r="W61" s="1"/>
      <c r="X61" s="1">
        <f t="shared" ref="X61:X69" si="40">+P61-T61</f>
        <v>-104.23</v>
      </c>
      <c r="Y61" s="1"/>
      <c r="Z61" s="5">
        <f t="shared" ref="Z61:Z69" si="41">IF(T61=0,0,X61/T61)</f>
        <v>-0.69649181423321083</v>
      </c>
    </row>
    <row r="62" spans="1:26" s="24" customFormat="1" hidden="1" outlineLevel="2" x14ac:dyDescent="0.3">
      <c r="A62" s="27"/>
      <c r="B62" s="12" t="str">
        <f>CONCATENATE("          ", "6362", " - ", "ADVERTISING EXPENSE")</f>
        <v xml:space="preserve">          6362 - ADVERTISING EXPENSE</v>
      </c>
      <c r="C62" s="12"/>
      <c r="D62" s="8">
        <v>45.42</v>
      </c>
      <c r="E62" s="3"/>
      <c r="F62" s="7">
        <f t="shared" si="34"/>
        <v>4.7656870532168395E-4</v>
      </c>
      <c r="G62" s="3"/>
      <c r="H62" s="8">
        <v>149.65</v>
      </c>
      <c r="I62" s="3"/>
      <c r="J62" s="7">
        <f t="shared" si="35"/>
        <v>7.1958507661813958E-4</v>
      </c>
      <c r="K62" s="3"/>
      <c r="L62" s="8">
        <f t="shared" si="36"/>
        <v>-104.23</v>
      </c>
      <c r="M62" s="3"/>
      <c r="N62" s="7">
        <f t="shared" si="37"/>
        <v>-0.69649181423321083</v>
      </c>
      <c r="O62" s="12"/>
      <c r="P62" s="8">
        <v>45.42</v>
      </c>
      <c r="Q62" s="3"/>
      <c r="R62" s="7">
        <f t="shared" si="38"/>
        <v>4.7656870532168395E-4</v>
      </c>
      <c r="S62" s="3"/>
      <c r="T62" s="8">
        <v>149.65</v>
      </c>
      <c r="U62" s="3"/>
      <c r="V62" s="7">
        <f t="shared" si="39"/>
        <v>7.1958507661813958E-4</v>
      </c>
      <c r="W62" s="3"/>
      <c r="X62" s="8">
        <f t="shared" si="40"/>
        <v>-104.23</v>
      </c>
      <c r="Y62" s="3"/>
      <c r="Z62" s="7">
        <f t="shared" si="41"/>
        <v>-0.69649181423321083</v>
      </c>
    </row>
    <row r="63" spans="1:26" s="29" customFormat="1" outlineLevel="1" collapsed="1" x14ac:dyDescent="0.3">
      <c r="A63" s="28"/>
      <c r="B63" s="14" t="str">
        <f>CONCATENATE("     ","Depreciation                                      ")</f>
        <v xml:space="preserve">     Depreciation                                      </v>
      </c>
      <c r="C63" s="14"/>
      <c r="D63" s="1">
        <f>SUM(OSRRefD22_3x_0)</f>
        <v>280.44</v>
      </c>
      <c r="E63" s="1"/>
      <c r="F63" s="5">
        <f t="shared" si="34"/>
        <v>2.9425127195159191E-3</v>
      </c>
      <c r="G63" s="1"/>
      <c r="H63" s="1">
        <f>SUM(OSRRefH22_3x_0)</f>
        <v>280.44</v>
      </c>
      <c r="I63" s="1"/>
      <c r="J63" s="5">
        <f t="shared" si="35"/>
        <v>1.3484827189227601E-3</v>
      </c>
      <c r="K63" s="1"/>
      <c r="L63" s="1">
        <f t="shared" si="36"/>
        <v>0</v>
      </c>
      <c r="M63" s="1"/>
      <c r="N63" s="5">
        <f t="shared" si="37"/>
        <v>0</v>
      </c>
      <c r="O63" s="14"/>
      <c r="P63" s="1">
        <f>SUM(OSRRefP22_3x_0)</f>
        <v>280.44</v>
      </c>
      <c r="Q63" s="1"/>
      <c r="R63" s="5">
        <f t="shared" si="38"/>
        <v>2.9425127195159191E-3</v>
      </c>
      <c r="S63" s="1"/>
      <c r="T63" s="1">
        <f>SUM(OSRRefT22_3x_0)</f>
        <v>280.44</v>
      </c>
      <c r="U63" s="1"/>
      <c r="V63" s="5">
        <f t="shared" si="39"/>
        <v>1.3484827189227601E-3</v>
      </c>
      <c r="W63" s="1"/>
      <c r="X63" s="1">
        <f t="shared" si="40"/>
        <v>0</v>
      </c>
      <c r="Y63" s="1"/>
      <c r="Z63" s="5">
        <f t="shared" si="41"/>
        <v>0</v>
      </c>
    </row>
    <row r="64" spans="1:26" s="24" customFormat="1" hidden="1" outlineLevel="2" x14ac:dyDescent="0.3">
      <c r="A64" s="27"/>
      <c r="B64" s="12" t="str">
        <f>CONCATENATE("          ", "6322", " - ", "EQUIPMENT DEPRECIATION EXPENSE")</f>
        <v xml:space="preserve">          6322 - EQUIPMENT DEPRECIATION EXPENSE</v>
      </c>
      <c r="C64" s="12"/>
      <c r="D64" s="8">
        <v>280.44</v>
      </c>
      <c r="E64" s="3"/>
      <c r="F64" s="7">
        <f t="shared" si="34"/>
        <v>2.9425127195159191E-3</v>
      </c>
      <c r="G64" s="3"/>
      <c r="H64" s="8">
        <v>280.44</v>
      </c>
      <c r="I64" s="3"/>
      <c r="J64" s="7">
        <f t="shared" si="35"/>
        <v>1.3484827189227601E-3</v>
      </c>
      <c r="K64" s="3"/>
      <c r="L64" s="8">
        <f t="shared" si="36"/>
        <v>0</v>
      </c>
      <c r="M64" s="3"/>
      <c r="N64" s="7">
        <f t="shared" si="37"/>
        <v>0</v>
      </c>
      <c r="O64" s="12"/>
      <c r="P64" s="8">
        <v>280.44</v>
      </c>
      <c r="Q64" s="3"/>
      <c r="R64" s="7">
        <f t="shared" si="38"/>
        <v>2.9425127195159191E-3</v>
      </c>
      <c r="S64" s="3"/>
      <c r="T64" s="8">
        <v>280.44</v>
      </c>
      <c r="U64" s="3"/>
      <c r="V64" s="7">
        <f t="shared" si="39"/>
        <v>1.3484827189227601E-3</v>
      </c>
      <c r="W64" s="3"/>
      <c r="X64" s="8">
        <f t="shared" si="40"/>
        <v>0</v>
      </c>
      <c r="Y64" s="3"/>
      <c r="Z64" s="7">
        <f t="shared" si="41"/>
        <v>0</v>
      </c>
    </row>
    <row r="65" spans="1:26" s="29" customFormat="1" outlineLevel="1" collapsed="1" x14ac:dyDescent="0.3">
      <c r="A65" s="28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SUM(OSRRefD22_4x_0)</f>
        <v>0</v>
      </c>
      <c r="E65" s="1"/>
      <c r="F65" s="5">
        <f t="shared" si="34"/>
        <v>0</v>
      </c>
      <c r="G65" s="1"/>
      <c r="H65" s="1">
        <f>SUM(OSRRefH22_4x_0)</f>
        <v>0</v>
      </c>
      <c r="I65" s="1"/>
      <c r="J65" s="5">
        <f t="shared" si="35"/>
        <v>0</v>
      </c>
      <c r="K65" s="1"/>
      <c r="L65" s="1">
        <f t="shared" si="36"/>
        <v>0</v>
      </c>
      <c r="M65" s="1"/>
      <c r="N65" s="5">
        <f t="shared" si="37"/>
        <v>0</v>
      </c>
      <c r="O65" s="14"/>
      <c r="P65" s="1">
        <f>SUM(OSRRefP22_4x_0)</f>
        <v>0</v>
      </c>
      <c r="Q65" s="1"/>
      <c r="R65" s="5">
        <f t="shared" si="38"/>
        <v>0</v>
      </c>
      <c r="S65" s="1"/>
      <c r="T65" s="1">
        <f>SUM(OSRRefT22_4x_0)</f>
        <v>0</v>
      </c>
      <c r="U65" s="1"/>
      <c r="V65" s="5">
        <f t="shared" si="39"/>
        <v>0</v>
      </c>
      <c r="W65" s="1"/>
      <c r="X65" s="1">
        <f t="shared" si="40"/>
        <v>0</v>
      </c>
      <c r="Y65" s="1"/>
      <c r="Z65" s="5">
        <f t="shared" si="41"/>
        <v>0</v>
      </c>
    </row>
    <row r="66" spans="1:26" s="24" customFormat="1" hidden="1" outlineLevel="2" x14ac:dyDescent="0.3">
      <c r="A66" s="27"/>
      <c r="B66" s="12" t="str">
        <f>CONCATENATE("          ", "6382", " - ", "DISCOUNTS/MARK DOWNS")</f>
        <v xml:space="preserve">          6382 - DISCOUNTS/MARK DOWNS</v>
      </c>
      <c r="C66" s="12"/>
      <c r="D66" s="8"/>
      <c r="E66" s="3"/>
      <c r="F66" s="7">
        <f t="shared" si="34"/>
        <v>0</v>
      </c>
      <c r="G66" s="3"/>
      <c r="H66" s="8">
        <v>0</v>
      </c>
      <c r="I66" s="3"/>
      <c r="J66" s="7">
        <f t="shared" si="35"/>
        <v>0</v>
      </c>
      <c r="K66" s="3"/>
      <c r="L66" s="8">
        <f t="shared" si="36"/>
        <v>0</v>
      </c>
      <c r="M66" s="3"/>
      <c r="N66" s="7">
        <f t="shared" si="37"/>
        <v>0</v>
      </c>
      <c r="O66" s="12"/>
      <c r="P66" s="8"/>
      <c r="Q66" s="3"/>
      <c r="R66" s="7">
        <f t="shared" si="38"/>
        <v>0</v>
      </c>
      <c r="S66" s="3"/>
      <c r="T66" s="8">
        <v>0</v>
      </c>
      <c r="U66" s="3"/>
      <c r="V66" s="7">
        <f t="shared" si="39"/>
        <v>0</v>
      </c>
      <c r="W66" s="3"/>
      <c r="X66" s="8">
        <f t="shared" si="40"/>
        <v>0</v>
      </c>
      <c r="Y66" s="3"/>
      <c r="Z66" s="7">
        <f t="shared" si="41"/>
        <v>0</v>
      </c>
    </row>
    <row r="67" spans="1:26" s="29" customFormat="1" outlineLevel="1" collapsed="1" x14ac:dyDescent="0.3">
      <c r="A67" s="28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SUM(OSRRefD22_5x_0)</f>
        <v>93.19</v>
      </c>
      <c r="E67" s="1"/>
      <c r="F67" s="5">
        <f t="shared" si="34"/>
        <v>9.7779475228814902E-4</v>
      </c>
      <c r="G67" s="1"/>
      <c r="H67" s="1">
        <f>SUM(OSRRefH22_5x_0)</f>
        <v>10.61</v>
      </c>
      <c r="I67" s="1"/>
      <c r="J67" s="5">
        <f t="shared" si="35"/>
        <v>5.1017692368315807E-5</v>
      </c>
      <c r="K67" s="1"/>
      <c r="L67" s="1">
        <f t="shared" si="36"/>
        <v>82.58</v>
      </c>
      <c r="M67" s="1"/>
      <c r="N67" s="5">
        <f t="shared" si="37"/>
        <v>7.7832233741753063</v>
      </c>
      <c r="O67" s="14"/>
      <c r="P67" s="1">
        <f>SUM(OSRRefP22_5x_0)</f>
        <v>93.19</v>
      </c>
      <c r="Q67" s="1"/>
      <c r="R67" s="5">
        <f t="shared" si="38"/>
        <v>9.7779475228814902E-4</v>
      </c>
      <c r="S67" s="1"/>
      <c r="T67" s="1">
        <f>SUM(OSRRefT22_5x_0)</f>
        <v>10.61</v>
      </c>
      <c r="U67" s="1"/>
      <c r="V67" s="5">
        <f t="shared" si="39"/>
        <v>5.1017692368315807E-5</v>
      </c>
      <c r="W67" s="1"/>
      <c r="X67" s="1">
        <f t="shared" si="40"/>
        <v>82.58</v>
      </c>
      <c r="Y67" s="1"/>
      <c r="Z67" s="5">
        <f t="shared" si="41"/>
        <v>7.7832233741753063</v>
      </c>
    </row>
    <row r="68" spans="1:26" s="24" customFormat="1" hidden="1" outlineLevel="2" x14ac:dyDescent="0.3">
      <c r="A68" s="27"/>
      <c r="B68" s="12" t="str">
        <f>CONCATENATE("          ", "6305", " - ", "FREIGHT OUT")</f>
        <v xml:space="preserve">          6305 - FREIGHT OUT</v>
      </c>
      <c r="C68" s="12"/>
      <c r="D68" s="8">
        <v>93.19</v>
      </c>
      <c r="E68" s="3"/>
      <c r="F68" s="7">
        <f t="shared" si="34"/>
        <v>9.7779475228814902E-4</v>
      </c>
      <c r="G68" s="3"/>
      <c r="H68" s="8">
        <v>5.61</v>
      </c>
      <c r="I68" s="3"/>
      <c r="J68" s="7">
        <f t="shared" si="35"/>
        <v>2.6975424522738145E-5</v>
      </c>
      <c r="K68" s="3"/>
      <c r="L68" s="8">
        <f t="shared" si="36"/>
        <v>87.58</v>
      </c>
      <c r="M68" s="3"/>
      <c r="N68" s="7">
        <f t="shared" si="37"/>
        <v>15.611408199643492</v>
      </c>
      <c r="O68" s="12"/>
      <c r="P68" s="8">
        <v>93.19</v>
      </c>
      <c r="Q68" s="3"/>
      <c r="R68" s="7">
        <f t="shared" si="38"/>
        <v>9.7779475228814902E-4</v>
      </c>
      <c r="S68" s="3"/>
      <c r="T68" s="8">
        <v>5.61</v>
      </c>
      <c r="U68" s="3"/>
      <c r="V68" s="7">
        <f t="shared" si="39"/>
        <v>2.6975424522738145E-5</v>
      </c>
      <c r="W68" s="3"/>
      <c r="X68" s="8">
        <f t="shared" si="40"/>
        <v>87.58</v>
      </c>
      <c r="Y68" s="3"/>
      <c r="Z68" s="7">
        <f t="shared" si="41"/>
        <v>15.611408199643492</v>
      </c>
    </row>
    <row r="69" spans="1:26" s="24" customFormat="1" hidden="1" outlineLevel="2" x14ac:dyDescent="0.3">
      <c r="A69" s="27"/>
      <c r="B69" s="12" t="str">
        <f>CONCATENATE("          ", "6307", " - ", "POSTAGE")</f>
        <v xml:space="preserve">          6307 - POSTAGE</v>
      </c>
      <c r="C69" s="12"/>
      <c r="D69" s="8"/>
      <c r="E69" s="3"/>
      <c r="F69" s="7">
        <f t="shared" si="34"/>
        <v>0</v>
      </c>
      <c r="G69" s="3"/>
      <c r="H69" s="8">
        <v>5</v>
      </c>
      <c r="I69" s="3"/>
      <c r="J69" s="7">
        <f t="shared" si="35"/>
        <v>2.4042267845577668E-5</v>
      </c>
      <c r="K69" s="3"/>
      <c r="L69" s="8">
        <f t="shared" si="36"/>
        <v>-5</v>
      </c>
      <c r="M69" s="3"/>
      <c r="N69" s="7">
        <f t="shared" si="37"/>
        <v>-1</v>
      </c>
      <c r="O69" s="12"/>
      <c r="P69" s="8"/>
      <c r="Q69" s="3"/>
      <c r="R69" s="7">
        <f t="shared" si="38"/>
        <v>0</v>
      </c>
      <c r="S69" s="3"/>
      <c r="T69" s="8">
        <v>5</v>
      </c>
      <c r="U69" s="3"/>
      <c r="V69" s="7">
        <f t="shared" si="39"/>
        <v>2.4042267845577668E-5</v>
      </c>
      <c r="W69" s="3"/>
      <c r="X69" s="8">
        <f t="shared" si="40"/>
        <v>-5</v>
      </c>
      <c r="Y69" s="3"/>
      <c r="Z69" s="7">
        <f t="shared" si="41"/>
        <v>-1</v>
      </c>
    </row>
    <row r="70" spans="1:26" s="29" customFormat="1" outlineLevel="1" collapsed="1" x14ac:dyDescent="0.3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SUM(OSRRefD22_6x_0)</f>
        <v>0</v>
      </c>
      <c r="E70" s="1"/>
      <c r="F70" s="5">
        <f t="shared" ref="F70:F77" si="42">IF(D$12=0,0,D70/D$12)</f>
        <v>0</v>
      </c>
      <c r="G70" s="1"/>
      <c r="H70" s="1">
        <f>SUM(OSRRefH22_6x_0)</f>
        <v>-30.15</v>
      </c>
      <c r="I70" s="1"/>
      <c r="J70" s="5">
        <f t="shared" ref="J70:J77" si="43">IF(H$12=0,0,H70/H$12)</f>
        <v>-1.4497487510883332E-4</v>
      </c>
      <c r="K70" s="1"/>
      <c r="L70" s="1">
        <f t="shared" ref="L70:L77" si="44">+D70-H70</f>
        <v>30.15</v>
      </c>
      <c r="M70" s="1"/>
      <c r="N70" s="5">
        <f t="shared" ref="N70:N77" si="45">IF(H70=0,0,L70/H70)</f>
        <v>-1</v>
      </c>
      <c r="O70" s="14"/>
      <c r="P70" s="1">
        <f>SUM(OSRRefP22_6x_0)</f>
        <v>0</v>
      </c>
      <c r="Q70" s="1"/>
      <c r="R70" s="5">
        <f t="shared" ref="R70:R77" si="46">IF(P$12=0,0,P70/P$12)</f>
        <v>0</v>
      </c>
      <c r="S70" s="1"/>
      <c r="T70" s="1">
        <f>SUM(OSRRefT22_6x_0)</f>
        <v>-30.15</v>
      </c>
      <c r="U70" s="1"/>
      <c r="V70" s="5">
        <f t="shared" ref="V70:V77" si="47">IF(T$12=0,0,T70/T$12)</f>
        <v>-1.4497487510883332E-4</v>
      </c>
      <c r="W70" s="1"/>
      <c r="X70" s="1">
        <f t="shared" ref="X70:X77" si="48">+P70-T70</f>
        <v>30.15</v>
      </c>
      <c r="Y70" s="1"/>
      <c r="Z70" s="5">
        <f t="shared" ref="Z70:Z77" si="49">IF(T70=0,0,X70/T70)</f>
        <v>-1</v>
      </c>
    </row>
    <row r="71" spans="1:26" s="24" customFormat="1" hidden="1" outlineLevel="2" x14ac:dyDescent="0.3">
      <c r="A71" s="27"/>
      <c r="B71" s="12" t="str">
        <f>CONCATENATE("          ", "6279", " - ", "GENERAL EXPENSE")</f>
        <v xml:space="preserve">          6279 - GENERAL EXPENSE</v>
      </c>
      <c r="C71" s="12"/>
      <c r="D71" s="8"/>
      <c r="E71" s="3"/>
      <c r="F71" s="7">
        <f t="shared" si="42"/>
        <v>0</v>
      </c>
      <c r="G71" s="3"/>
      <c r="H71" s="8">
        <v>-30.15</v>
      </c>
      <c r="I71" s="3"/>
      <c r="J71" s="7">
        <f t="shared" si="43"/>
        <v>-1.4497487510883332E-4</v>
      </c>
      <c r="K71" s="3"/>
      <c r="L71" s="8">
        <f t="shared" si="44"/>
        <v>30.15</v>
      </c>
      <c r="M71" s="3"/>
      <c r="N71" s="7">
        <f t="shared" si="45"/>
        <v>-1</v>
      </c>
      <c r="O71" s="12"/>
      <c r="P71" s="8"/>
      <c r="Q71" s="3"/>
      <c r="R71" s="7">
        <f t="shared" si="46"/>
        <v>0</v>
      </c>
      <c r="S71" s="3"/>
      <c r="T71" s="8">
        <v>-30.15</v>
      </c>
      <c r="U71" s="3"/>
      <c r="V71" s="7">
        <f t="shared" si="47"/>
        <v>-1.4497487510883332E-4</v>
      </c>
      <c r="W71" s="3"/>
      <c r="X71" s="8">
        <f t="shared" si="48"/>
        <v>30.15</v>
      </c>
      <c r="Y71" s="3"/>
      <c r="Z71" s="7">
        <f t="shared" si="49"/>
        <v>-1</v>
      </c>
    </row>
    <row r="72" spans="1:26" s="29" customFormat="1" outlineLevel="1" collapsed="1" x14ac:dyDescent="0.3">
      <c r="A72" s="28"/>
      <c r="B72" s="14" t="str">
        <f>CONCATENATE("     ","Inventory Adjustment                              ")</f>
        <v xml:space="preserve">     Inventory Adjustment                              </v>
      </c>
      <c r="C72" s="14"/>
      <c r="D72" s="1">
        <f>SUM(OSRRefD22_7x_0)</f>
        <v>1470</v>
      </c>
      <c r="E72" s="1"/>
      <c r="F72" s="5">
        <f t="shared" si="42"/>
        <v>1.5423954135246045E-2</v>
      </c>
      <c r="G72" s="1"/>
      <c r="H72" s="1">
        <f>SUM(OSRRefH22_7x_0)</f>
        <v>1250</v>
      </c>
      <c r="I72" s="1"/>
      <c r="J72" s="5">
        <f t="shared" si="43"/>
        <v>6.0105669613944165E-3</v>
      </c>
      <c r="K72" s="1"/>
      <c r="L72" s="1">
        <f t="shared" si="44"/>
        <v>220</v>
      </c>
      <c r="M72" s="1"/>
      <c r="N72" s="5">
        <f t="shared" si="45"/>
        <v>0.17599999999999999</v>
      </c>
      <c r="O72" s="14"/>
      <c r="P72" s="1">
        <f>SUM(OSRRefP22_7x_0)</f>
        <v>1470</v>
      </c>
      <c r="Q72" s="1"/>
      <c r="R72" s="5">
        <f t="shared" si="46"/>
        <v>1.5423954135246045E-2</v>
      </c>
      <c r="S72" s="1"/>
      <c r="T72" s="1">
        <f>SUM(OSRRefT22_7x_0)</f>
        <v>1250</v>
      </c>
      <c r="U72" s="1"/>
      <c r="V72" s="5">
        <f t="shared" si="47"/>
        <v>6.0105669613944165E-3</v>
      </c>
      <c r="W72" s="1"/>
      <c r="X72" s="1">
        <f t="shared" si="48"/>
        <v>220</v>
      </c>
      <c r="Y72" s="1"/>
      <c r="Z72" s="5">
        <f t="shared" si="49"/>
        <v>0.17599999999999999</v>
      </c>
    </row>
    <row r="73" spans="1:26" s="24" customFormat="1" hidden="1" outlineLevel="2" x14ac:dyDescent="0.3">
      <c r="A73" s="27"/>
      <c r="B73" s="12" t="str">
        <f>CONCATENATE("          ", "6408", " - ", "INVENTORY ADJUSTMENT")</f>
        <v xml:space="preserve">          6408 - INVENTORY ADJUSTMENT</v>
      </c>
      <c r="C73" s="12"/>
      <c r="D73" s="8">
        <v>1470</v>
      </c>
      <c r="E73" s="3"/>
      <c r="F73" s="7">
        <f t="shared" si="42"/>
        <v>1.5423954135246045E-2</v>
      </c>
      <c r="G73" s="3"/>
      <c r="H73" s="8">
        <v>1250</v>
      </c>
      <c r="I73" s="3"/>
      <c r="J73" s="7">
        <f t="shared" si="43"/>
        <v>6.0105669613944165E-3</v>
      </c>
      <c r="K73" s="3"/>
      <c r="L73" s="8">
        <f t="shared" si="44"/>
        <v>220</v>
      </c>
      <c r="M73" s="3"/>
      <c r="N73" s="7">
        <f t="shared" si="45"/>
        <v>0.17599999999999999</v>
      </c>
      <c r="O73" s="12"/>
      <c r="P73" s="8">
        <v>1470</v>
      </c>
      <c r="Q73" s="3"/>
      <c r="R73" s="7">
        <f t="shared" si="46"/>
        <v>1.5423954135246045E-2</v>
      </c>
      <c r="S73" s="3"/>
      <c r="T73" s="8">
        <v>1250</v>
      </c>
      <c r="U73" s="3"/>
      <c r="V73" s="7">
        <f t="shared" si="47"/>
        <v>6.0105669613944165E-3</v>
      </c>
      <c r="W73" s="3"/>
      <c r="X73" s="8">
        <f t="shared" si="48"/>
        <v>220</v>
      </c>
      <c r="Y73" s="3"/>
      <c r="Z73" s="7">
        <f t="shared" si="49"/>
        <v>0.17599999999999999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SUM(OSRRefD22_8x_0)</f>
        <v>2041.8</v>
      </c>
      <c r="E74" s="1"/>
      <c r="F74" s="5">
        <f t="shared" si="42"/>
        <v>2.1423557519282568E-2</v>
      </c>
      <c r="G74" s="1"/>
      <c r="H74" s="1">
        <f>SUM(OSRRefH22_8x_0)</f>
        <v>668.12</v>
      </c>
      <c r="I74" s="1"/>
      <c r="J74" s="5">
        <f t="shared" si="43"/>
        <v>3.2126239985974703E-3</v>
      </c>
      <c r="K74" s="1"/>
      <c r="L74" s="1">
        <f t="shared" si="44"/>
        <v>1373.6799999999998</v>
      </c>
      <c r="M74" s="1"/>
      <c r="N74" s="5">
        <f t="shared" si="45"/>
        <v>2.0560378375142188</v>
      </c>
      <c r="O74" s="14"/>
      <c r="P74" s="1">
        <f>SUM(OSRRefP22_8x_0)</f>
        <v>2041.8</v>
      </c>
      <c r="Q74" s="1"/>
      <c r="R74" s="5">
        <f t="shared" si="46"/>
        <v>2.1423557519282568E-2</v>
      </c>
      <c r="S74" s="1"/>
      <c r="T74" s="1">
        <f>SUM(OSRRefT22_8x_0)</f>
        <v>668.12</v>
      </c>
      <c r="U74" s="1"/>
      <c r="V74" s="5">
        <f t="shared" si="47"/>
        <v>3.2126239985974703E-3</v>
      </c>
      <c r="W74" s="1"/>
      <c r="X74" s="1">
        <f t="shared" si="48"/>
        <v>1373.6799999999998</v>
      </c>
      <c r="Y74" s="1"/>
      <c r="Z74" s="5">
        <f t="shared" si="49"/>
        <v>2.0560378375142188</v>
      </c>
    </row>
    <row r="75" spans="1:26" s="24" customFormat="1" hidden="1" outlineLevel="2" x14ac:dyDescent="0.3">
      <c r="A75" s="27"/>
      <c r="B75" s="12" t="str">
        <f>CONCATENATE("          ", "6235", " - ", "COVID-19 EXPENSES")</f>
        <v xml:space="preserve">          6235 - COVID-19 EXPENSES</v>
      </c>
      <c r="C75" s="12"/>
      <c r="D75" s="8"/>
      <c r="E75" s="3"/>
      <c r="F75" s="7">
        <f t="shared" si="42"/>
        <v>0</v>
      </c>
      <c r="G75" s="3"/>
      <c r="H75" s="8">
        <v>668.12</v>
      </c>
      <c r="I75" s="3"/>
      <c r="J75" s="7">
        <f t="shared" si="43"/>
        <v>3.2126239985974703E-3</v>
      </c>
      <c r="K75" s="3"/>
      <c r="L75" s="8">
        <f t="shared" si="44"/>
        <v>-668.12</v>
      </c>
      <c r="M75" s="3"/>
      <c r="N75" s="7">
        <f t="shared" si="45"/>
        <v>-1</v>
      </c>
      <c r="O75" s="12"/>
      <c r="P75" s="8"/>
      <c r="Q75" s="3"/>
      <c r="R75" s="7">
        <f t="shared" si="46"/>
        <v>0</v>
      </c>
      <c r="S75" s="3"/>
      <c r="T75" s="8">
        <v>668.12</v>
      </c>
      <c r="U75" s="3"/>
      <c r="V75" s="7">
        <f t="shared" si="47"/>
        <v>3.2126239985974703E-3</v>
      </c>
      <c r="W75" s="3"/>
      <c r="X75" s="8">
        <f t="shared" si="48"/>
        <v>-668.12</v>
      </c>
      <c r="Y75" s="3"/>
      <c r="Z75" s="7">
        <f t="shared" si="49"/>
        <v>-1</v>
      </c>
    </row>
    <row r="76" spans="1:26" s="24" customFormat="1" hidden="1" outlineLevel="2" x14ac:dyDescent="0.3">
      <c r="A76" s="27"/>
      <c r="B76" s="12" t="str">
        <f>CONCATENATE("          ", "6241", " - ", "OFFICE EXPENSE")</f>
        <v xml:space="preserve">          6241 - OFFICE EXPENSE</v>
      </c>
      <c r="C76" s="12"/>
      <c r="D76" s="8">
        <v>8.8000000000000007</v>
      </c>
      <c r="E76" s="3"/>
      <c r="F76" s="7">
        <f t="shared" si="42"/>
        <v>9.2333875095350484E-5</v>
      </c>
      <c r="G76" s="3"/>
      <c r="H76" s="8"/>
      <c r="I76" s="3"/>
      <c r="J76" s="7">
        <f t="shared" si="43"/>
        <v>0</v>
      </c>
      <c r="K76" s="3"/>
      <c r="L76" s="8">
        <f t="shared" si="44"/>
        <v>8.8000000000000007</v>
      </c>
      <c r="M76" s="3"/>
      <c r="N76" s="7">
        <f t="shared" si="45"/>
        <v>0</v>
      </c>
      <c r="O76" s="12"/>
      <c r="P76" s="8">
        <v>8.8000000000000007</v>
      </c>
      <c r="Q76" s="3"/>
      <c r="R76" s="7">
        <f t="shared" si="46"/>
        <v>9.2333875095350484E-5</v>
      </c>
      <c r="S76" s="3"/>
      <c r="T76" s="8"/>
      <c r="U76" s="3"/>
      <c r="V76" s="7">
        <f t="shared" si="47"/>
        <v>0</v>
      </c>
      <c r="W76" s="3"/>
      <c r="X76" s="8">
        <f t="shared" si="48"/>
        <v>8.8000000000000007</v>
      </c>
      <c r="Y76" s="3"/>
      <c r="Z76" s="7">
        <f t="shared" si="49"/>
        <v>0</v>
      </c>
    </row>
    <row r="77" spans="1:26" s="24" customFormat="1" hidden="1" outlineLevel="2" x14ac:dyDescent="0.3">
      <c r="A77" s="27"/>
      <c r="B77" s="12" t="str">
        <f>CONCATENATE("          ", "6247", " - ", "STORE SUPPLIES")</f>
        <v xml:space="preserve">          6247 - STORE SUPPLIES</v>
      </c>
      <c r="C77" s="12"/>
      <c r="D77" s="8">
        <v>2033</v>
      </c>
      <c r="E77" s="3"/>
      <c r="F77" s="7">
        <f t="shared" si="42"/>
        <v>2.1331223644187217E-2</v>
      </c>
      <c r="G77" s="3"/>
      <c r="H77" s="8"/>
      <c r="I77" s="3"/>
      <c r="J77" s="7">
        <f t="shared" si="43"/>
        <v>0</v>
      </c>
      <c r="K77" s="3"/>
      <c r="L77" s="8">
        <f t="shared" si="44"/>
        <v>2033</v>
      </c>
      <c r="M77" s="3"/>
      <c r="N77" s="7">
        <f t="shared" si="45"/>
        <v>0</v>
      </c>
      <c r="O77" s="12"/>
      <c r="P77" s="8">
        <v>2033</v>
      </c>
      <c r="Q77" s="3"/>
      <c r="R77" s="7">
        <f t="shared" si="46"/>
        <v>2.1331223644187217E-2</v>
      </c>
      <c r="S77" s="3"/>
      <c r="T77" s="8"/>
      <c r="U77" s="3"/>
      <c r="V77" s="7">
        <f t="shared" si="47"/>
        <v>0</v>
      </c>
      <c r="W77" s="3"/>
      <c r="X77" s="8">
        <f t="shared" si="48"/>
        <v>2033</v>
      </c>
      <c r="Y77" s="3"/>
      <c r="Z77" s="7">
        <f t="shared" si="49"/>
        <v>0</v>
      </c>
    </row>
    <row r="78" spans="1:26" s="29" customFormat="1" outlineLevel="1" collapsed="1" x14ac:dyDescent="0.3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SUM(OSRRefD22_9x_0)</f>
        <v>283.3</v>
      </c>
      <c r="E78" s="1"/>
      <c r="F78" s="5">
        <f t="shared" ref="F78:F79" si="50">IF(D$12=0,0,D78/D$12)</f>
        <v>2.972521228921908E-3</v>
      </c>
      <c r="G78" s="1"/>
      <c r="H78" s="1">
        <f>SUM(OSRRefH22_9x_0)</f>
        <v>304.8</v>
      </c>
      <c r="I78" s="1"/>
      <c r="J78" s="5">
        <f t="shared" ref="J78:J79" si="51">IF(H$12=0,0,H78/H$12)</f>
        <v>1.4656166478664147E-3</v>
      </c>
      <c r="K78" s="1"/>
      <c r="L78" s="1">
        <f t="shared" ref="L78:L79" si="52">+D78-H78</f>
        <v>-21.5</v>
      </c>
      <c r="M78" s="1"/>
      <c r="N78" s="5">
        <f t="shared" ref="N78:N79" si="53">IF(H78=0,0,L78/H78)</f>
        <v>-7.0538057742782156E-2</v>
      </c>
      <c r="O78" s="14"/>
      <c r="P78" s="1">
        <f>SUM(OSRRefP22_9x_0)</f>
        <v>283.3</v>
      </c>
      <c r="Q78" s="1"/>
      <c r="R78" s="5">
        <f t="shared" ref="R78:R79" si="54">IF(P$12=0,0,P78/P$12)</f>
        <v>2.972521228921908E-3</v>
      </c>
      <c r="S78" s="1"/>
      <c r="T78" s="1">
        <f>SUM(OSRRefT22_9x_0)</f>
        <v>304.8</v>
      </c>
      <c r="U78" s="1"/>
      <c r="V78" s="5">
        <f t="shared" ref="V78:V79" si="55">IF(T$12=0,0,T78/T$12)</f>
        <v>1.4656166478664147E-3</v>
      </c>
      <c r="W78" s="1"/>
      <c r="X78" s="1">
        <f t="shared" ref="X78:X79" si="56">+P78-T78</f>
        <v>-21.5</v>
      </c>
      <c r="Y78" s="1"/>
      <c r="Z78" s="5">
        <f t="shared" ref="Z78:Z79" si="57">IF(T78=0,0,X78/T78)</f>
        <v>-7.0538057742782156E-2</v>
      </c>
    </row>
    <row r="79" spans="1:26" s="24" customFormat="1" hidden="1" outlineLevel="2" x14ac:dyDescent="0.3">
      <c r="A79" s="27"/>
      <c r="B79" s="12" t="str">
        <f>CONCATENATE("          ", "6309", " - ", "TELEPHONE")</f>
        <v xml:space="preserve">          6309 - TELEPHONE</v>
      </c>
      <c r="C79" s="12"/>
      <c r="D79" s="8">
        <v>283.3</v>
      </c>
      <c r="E79" s="3"/>
      <c r="F79" s="7">
        <f t="shared" si="50"/>
        <v>2.972521228921908E-3</v>
      </c>
      <c r="G79" s="3"/>
      <c r="H79" s="8">
        <v>304.8</v>
      </c>
      <c r="I79" s="3"/>
      <c r="J79" s="7">
        <f t="shared" si="51"/>
        <v>1.4656166478664147E-3</v>
      </c>
      <c r="K79" s="3"/>
      <c r="L79" s="8">
        <f t="shared" si="52"/>
        <v>-21.5</v>
      </c>
      <c r="M79" s="3"/>
      <c r="N79" s="7">
        <f t="shared" si="53"/>
        <v>-7.0538057742782156E-2</v>
      </c>
      <c r="O79" s="12"/>
      <c r="P79" s="8">
        <v>283.3</v>
      </c>
      <c r="Q79" s="3"/>
      <c r="R79" s="7">
        <f t="shared" si="54"/>
        <v>2.972521228921908E-3</v>
      </c>
      <c r="S79" s="3"/>
      <c r="T79" s="8">
        <v>304.8</v>
      </c>
      <c r="U79" s="3"/>
      <c r="V79" s="7">
        <f t="shared" si="55"/>
        <v>1.4656166478664147E-3</v>
      </c>
      <c r="W79" s="3"/>
      <c r="X79" s="8">
        <f t="shared" si="56"/>
        <v>-21.5</v>
      </c>
      <c r="Y79" s="3"/>
      <c r="Z79" s="7">
        <f t="shared" si="57"/>
        <v>-7.0538057742782156E-2</v>
      </c>
    </row>
    <row r="80" spans="1:26" s="53" customFormat="1" x14ac:dyDescent="0.3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3">
      <c r="A81" s="10"/>
      <c r="B81" s="25" t="s">
        <v>292</v>
      </c>
      <c r="C81" s="10"/>
      <c r="D81" s="4">
        <f>SUM(OSRRefD25x_0)</f>
        <v>193.38</v>
      </c>
      <c r="E81" s="4"/>
      <c r="F81" s="11">
        <f t="shared" ref="F81:F84" si="58">IF(D$12=0,0,D81/D$12)</f>
        <v>2.0290369052203268E-3</v>
      </c>
      <c r="G81" s="4"/>
      <c r="H81" s="4">
        <f>SUM(OSRRefH25x_0)</f>
        <v>-375.36</v>
      </c>
      <c r="I81" s="4"/>
      <c r="J81" s="11">
        <f t="shared" ref="J81:J84" si="59">IF(H$12=0,0,H81/H$12)</f>
        <v>-1.8049011317032067E-3</v>
      </c>
      <c r="K81" s="4"/>
      <c r="L81" s="4">
        <f t="shared" ref="L81:L84" si="60">+D81-H81</f>
        <v>568.74</v>
      </c>
      <c r="M81" s="4"/>
      <c r="N81" s="11">
        <f t="shared" ref="N81:N84" si="61">IF(H81=0,0,L81/H81)</f>
        <v>-1.5151854219948848</v>
      </c>
      <c r="O81" s="10"/>
      <c r="P81" s="4">
        <f>SUM(OSRRefP25x_0)</f>
        <v>193.38</v>
      </c>
      <c r="Q81" s="4"/>
      <c r="R81" s="11">
        <f t="shared" ref="R81:R84" si="62">IF(P$12=0,0,P81/P$12)</f>
        <v>2.0290369052203268E-3</v>
      </c>
      <c r="S81" s="4"/>
      <c r="T81" s="4">
        <f>SUM(OSRRefT25x_0)</f>
        <v>-375.36</v>
      </c>
      <c r="U81" s="4"/>
      <c r="V81" s="11">
        <f t="shared" ref="V81:V84" si="63">IF(T$12=0,0,T81/T$12)</f>
        <v>-1.8049011317032067E-3</v>
      </c>
      <c r="W81" s="4"/>
      <c r="X81" s="4">
        <f t="shared" ref="X81:X84" si="64">+P81-T81</f>
        <v>568.74</v>
      </c>
      <c r="Y81" s="4"/>
      <c r="Z81" s="11">
        <f t="shared" ref="Z81:Z84" si="65">IF(T81=0,0,X81/T81)</f>
        <v>-1.5151854219948848</v>
      </c>
    </row>
    <row r="82" spans="1:26" s="24" customFormat="1" hidden="1" outlineLevel="1" x14ac:dyDescent="0.3">
      <c r="A82" s="50"/>
      <c r="B82" s="12" t="str">
        <f>CONCATENATE("          ", "4187", " - ", "NON-TAXABLE SALES-COMPUTER REP")</f>
        <v xml:space="preserve">          4187 - NON-TAXABLE SALES-COMPUTER REP</v>
      </c>
      <c r="C82" s="12"/>
      <c r="D82" s="3">
        <f>0</f>
        <v>0</v>
      </c>
      <c r="E82" s="3"/>
      <c r="F82" s="22">
        <f t="shared" si="58"/>
        <v>0</v>
      </c>
      <c r="G82" s="3"/>
      <c r="H82" s="3">
        <f>--19.99</f>
        <v>19.989999999999998</v>
      </c>
      <c r="I82" s="3"/>
      <c r="J82" s="22">
        <f t="shared" si="59"/>
        <v>9.6120986846619499E-5</v>
      </c>
      <c r="K82" s="3"/>
      <c r="L82" s="3">
        <f t="shared" si="60"/>
        <v>-19.989999999999998</v>
      </c>
      <c r="M82" s="3"/>
      <c r="N82" s="22">
        <f t="shared" si="61"/>
        <v>-1</v>
      </c>
      <c r="O82" s="12"/>
      <c r="P82" s="3">
        <f>0</f>
        <v>0</v>
      </c>
      <c r="Q82" s="3"/>
      <c r="R82" s="22">
        <f t="shared" si="62"/>
        <v>0</v>
      </c>
      <c r="S82" s="3"/>
      <c r="T82" s="3">
        <f>--19.99</f>
        <v>19.989999999999998</v>
      </c>
      <c r="U82" s="3"/>
      <c r="V82" s="22">
        <f t="shared" si="63"/>
        <v>9.6120986846619499E-5</v>
      </c>
      <c r="W82" s="3"/>
      <c r="X82" s="3">
        <f t="shared" si="64"/>
        <v>-19.989999999999998</v>
      </c>
      <c r="Y82" s="3"/>
      <c r="Z82" s="22">
        <f t="shared" si="65"/>
        <v>-1</v>
      </c>
    </row>
    <row r="83" spans="1:26" s="24" customFormat="1" hidden="1" outlineLevel="1" x14ac:dyDescent="0.3">
      <c r="A83" s="50"/>
      <c r="B83" s="12" t="str">
        <f>CONCATENATE("          ", "9087", " - ", "")</f>
        <v xml:space="preserve">          9087 - </v>
      </c>
      <c r="C83" s="12"/>
      <c r="D83" s="3">
        <f>--73.47</f>
        <v>73.47</v>
      </c>
      <c r="E83" s="3"/>
      <c r="F83" s="22">
        <f t="shared" si="58"/>
        <v>7.7088293218811356E-4</v>
      </c>
      <c r="G83" s="3"/>
      <c r="H83" s="3">
        <f>0</f>
        <v>0</v>
      </c>
      <c r="I83" s="3"/>
      <c r="J83" s="22">
        <f t="shared" si="59"/>
        <v>0</v>
      </c>
      <c r="K83" s="3"/>
      <c r="L83" s="3">
        <f t="shared" si="60"/>
        <v>73.47</v>
      </c>
      <c r="M83" s="3"/>
      <c r="N83" s="22">
        <f t="shared" si="61"/>
        <v>0</v>
      </c>
      <c r="O83" s="12"/>
      <c r="P83" s="3">
        <f>--73.47</f>
        <v>73.47</v>
      </c>
      <c r="Q83" s="3"/>
      <c r="R83" s="22">
        <f t="shared" si="62"/>
        <v>7.7088293218811356E-4</v>
      </c>
      <c r="S83" s="3"/>
      <c r="T83" s="3">
        <f>0</f>
        <v>0</v>
      </c>
      <c r="U83" s="3"/>
      <c r="V83" s="22">
        <f t="shared" si="63"/>
        <v>0</v>
      </c>
      <c r="W83" s="3"/>
      <c r="X83" s="3">
        <f t="shared" si="64"/>
        <v>73.47</v>
      </c>
      <c r="Y83" s="3"/>
      <c r="Z83" s="22">
        <f t="shared" si="65"/>
        <v>0</v>
      </c>
    </row>
    <row r="84" spans="1:26" s="24" customFormat="1" hidden="1" outlineLevel="1" x14ac:dyDescent="0.3">
      <c r="A84" s="50"/>
      <c r="B84" s="12" t="str">
        <f>CONCATENATE("          ", "9150", " - ", "MISC. INCOME")</f>
        <v xml:space="preserve">          9150 - MISC. INCOME</v>
      </c>
      <c r="C84" s="12"/>
      <c r="D84" s="3">
        <f>--119.91</f>
        <v>119.91</v>
      </c>
      <c r="E84" s="3"/>
      <c r="F84" s="22">
        <f t="shared" si="58"/>
        <v>1.2581539730322131E-3</v>
      </c>
      <c r="G84" s="3"/>
      <c r="H84" s="3">
        <f>-395.35</f>
        <v>-395.35</v>
      </c>
      <c r="I84" s="3"/>
      <c r="J84" s="22">
        <f t="shared" si="59"/>
        <v>-1.9010221185498262E-3</v>
      </c>
      <c r="K84" s="3"/>
      <c r="L84" s="3">
        <f t="shared" si="60"/>
        <v>515.26</v>
      </c>
      <c r="M84" s="3"/>
      <c r="N84" s="22">
        <f t="shared" si="61"/>
        <v>-1.3033008726444921</v>
      </c>
      <c r="O84" s="12"/>
      <c r="P84" s="3">
        <f>--119.91</f>
        <v>119.91</v>
      </c>
      <c r="Q84" s="3"/>
      <c r="R84" s="22">
        <f t="shared" si="62"/>
        <v>1.2581539730322131E-3</v>
      </c>
      <c r="S84" s="3"/>
      <c r="T84" s="3">
        <f>-395.35</f>
        <v>-395.35</v>
      </c>
      <c r="U84" s="3"/>
      <c r="V84" s="22">
        <f t="shared" si="63"/>
        <v>-1.9010221185498262E-3</v>
      </c>
      <c r="W84" s="3"/>
      <c r="X84" s="3">
        <f t="shared" si="64"/>
        <v>515.26</v>
      </c>
      <c r="Y84" s="3"/>
      <c r="Z84" s="22">
        <f t="shared" si="65"/>
        <v>-1.3033008726444921</v>
      </c>
    </row>
    <row r="85" spans="1:26" x14ac:dyDescent="0.3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x14ac:dyDescent="0.3">
      <c r="A86" s="10"/>
      <c r="B86" s="26" t="s">
        <v>276</v>
      </c>
      <c r="C86" s="26"/>
      <c r="D86" s="20">
        <f>+D44-D46+D81</f>
        <v>-3756.4600000000146</v>
      </c>
      <c r="E86" s="13"/>
      <c r="F86" s="21">
        <f>IF(D$12=0,0,D86/D$12)</f>
        <v>-3.9414603231895634E-2</v>
      </c>
      <c r="G86" s="13"/>
      <c r="H86" s="20">
        <f>+H44-H46+H81</f>
        <v>11856.049999999976</v>
      </c>
      <c r="I86" s="13"/>
      <c r="J86" s="21">
        <f>IF(H$12=0,0,H86/H$12)</f>
        <v>5.7009265938112105E-2</v>
      </c>
      <c r="K86" s="16"/>
      <c r="L86" s="20">
        <f>+D86-H86</f>
        <v>-15612.509999999991</v>
      </c>
      <c r="M86" s="16"/>
      <c r="N86" s="21">
        <f>IF(H86=0,0,L86/H86)</f>
        <v>-1.3168390821563694</v>
      </c>
      <c r="O86" s="25"/>
      <c r="P86" s="20">
        <f>+P44-P46+P81</f>
        <v>-3756.4600000000146</v>
      </c>
      <c r="Q86" s="13"/>
      <c r="R86" s="21">
        <f>IF(P$12=0,0,P86/P$12)</f>
        <v>-3.9414603231895634E-2</v>
      </c>
      <c r="S86" s="13"/>
      <c r="T86" s="20">
        <f>+T44-T46+T81</f>
        <v>11856.049999999976</v>
      </c>
      <c r="U86" s="13"/>
      <c r="V86" s="21">
        <f>IF(T$12=0,0,T86/T$12)</f>
        <v>5.7009265938112105E-2</v>
      </c>
      <c r="W86" s="16"/>
      <c r="X86" s="20">
        <f>+P86-T86</f>
        <v>-15612.509999999991</v>
      </c>
      <c r="Y86" s="16"/>
      <c r="Z86" s="21">
        <f>IF(T86=0,0,X86/T86)</f>
        <v>-1.3168390821563694</v>
      </c>
    </row>
    <row r="87" spans="1:26" x14ac:dyDescent="0.3">
      <c r="A87" s="9"/>
      <c r="B87" s="10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3">
      <c r="A88" s="51"/>
      <c r="B88" s="10" t="s">
        <v>127</v>
      </c>
      <c r="C88" s="10"/>
      <c r="D88" s="4">
        <v>44031.12</v>
      </c>
      <c r="E88" s="4"/>
      <c r="F88" s="11">
        <f>IF(D$12=0,0,D88/D$12)</f>
        <v>0.46199590163504417</v>
      </c>
      <c r="G88" s="4"/>
      <c r="H88" s="4">
        <v>100199.48</v>
      </c>
      <c r="I88" s="4"/>
      <c r="J88" s="11">
        <f>IF(H$12=0,0,H88/H$12)</f>
        <v>0.48180454722952049</v>
      </c>
      <c r="K88" s="4"/>
      <c r="L88" s="4">
        <f>+D88-H88</f>
        <v>-56168.359999999993</v>
      </c>
      <c r="M88" s="4"/>
      <c r="N88" s="11">
        <f>IF(H88=0,0,L88/H88)</f>
        <v>-0.56056538417165436</v>
      </c>
      <c r="O88" s="10"/>
      <c r="P88" s="4">
        <v>44031.12</v>
      </c>
      <c r="Q88" s="4"/>
      <c r="R88" s="11">
        <f>IF(P$12=0,0,P88/P$12)</f>
        <v>0.46199590163504417</v>
      </c>
      <c r="S88" s="4"/>
      <c r="T88" s="4">
        <v>100199.48</v>
      </c>
      <c r="U88" s="4"/>
      <c r="V88" s="11">
        <f>IF(T$12=0,0,T88/T$12)</f>
        <v>0.48180454722952049</v>
      </c>
      <c r="W88" s="4"/>
      <c r="X88" s="4">
        <f>+P88-T88</f>
        <v>-56168.359999999993</v>
      </c>
      <c r="Y88" s="4"/>
      <c r="Z88" s="11">
        <f>IF(T88=0,0,X88/T88)</f>
        <v>-0.56056538417165436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ht="15" thickBot="1" x14ac:dyDescent="0.35">
      <c r="A90" s="10"/>
      <c r="B90" s="26" t="s">
        <v>125</v>
      </c>
      <c r="C90" s="26"/>
      <c r="D90" s="36">
        <f>+D86-D88</f>
        <v>-47787.580000000016</v>
      </c>
      <c r="E90" s="13"/>
      <c r="F90" s="34">
        <f>IF(D$12=0,0,D90/D$12)</f>
        <v>-0.50141050486693972</v>
      </c>
      <c r="G90" s="13"/>
      <c r="H90" s="36">
        <f>+H86-H88</f>
        <v>-88343.430000000022</v>
      </c>
      <c r="I90" s="13"/>
      <c r="J90" s="34">
        <f>IF(H$12=0,0,H90/H$12)</f>
        <v>-0.42479528129140837</v>
      </c>
      <c r="K90" s="16"/>
      <c r="L90" s="36">
        <f>D90-H90</f>
        <v>40555.850000000006</v>
      </c>
      <c r="M90" s="16"/>
      <c r="N90" s="34">
        <f>IF(H90=0,0,L90/H90)</f>
        <v>-0.45907035758063724</v>
      </c>
      <c r="O90" s="25"/>
      <c r="P90" s="36">
        <f>+P86-P88</f>
        <v>-47787.580000000016</v>
      </c>
      <c r="Q90" s="13"/>
      <c r="R90" s="34">
        <f>IF(P$12=0,0,P90/P$12)</f>
        <v>-0.50141050486693972</v>
      </c>
      <c r="S90" s="13"/>
      <c r="T90" s="36">
        <f>+T86-T88</f>
        <v>-88343.430000000022</v>
      </c>
      <c r="U90" s="13"/>
      <c r="V90" s="34">
        <f>IF(T$12=0,0,T90/T$12)</f>
        <v>-0.42479528129140837</v>
      </c>
      <c r="W90" s="16"/>
      <c r="X90" s="36">
        <f>P90-T90</f>
        <v>40555.850000000006</v>
      </c>
      <c r="Y90" s="16"/>
      <c r="Z90" s="34">
        <f>IF(T90=0,0,X90/T90)</f>
        <v>-0.45907035758063724</v>
      </c>
    </row>
    <row r="91" spans="1:26" ht="15" thickTop="1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x14ac:dyDescent="0.3">
      <c r="A92" s="9"/>
      <c r="B92" s="9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ht="15" thickBot="1" x14ac:dyDescent="0.35">
      <c r="A93" s="10"/>
      <c r="B93" s="26" t="s">
        <v>293</v>
      </c>
      <c r="C93" s="26"/>
      <c r="D93" s="31">
        <f>SUM(D90:D92)</f>
        <v>-47787.580000000016</v>
      </c>
      <c r="E93" s="13"/>
      <c r="F93" s="33">
        <f>IF(D$12=0,0,D93/D$12)</f>
        <v>-0.50141050486693972</v>
      </c>
      <c r="G93" s="13"/>
      <c r="H93" s="31">
        <f>SUM(H90:H92)</f>
        <v>-88343.430000000022</v>
      </c>
      <c r="I93" s="13"/>
      <c r="J93" s="33">
        <f>IF(H$12=0,0,H93/H$12)</f>
        <v>-0.42479528129140837</v>
      </c>
      <c r="K93" s="16"/>
      <c r="L93" s="31">
        <f>+D93-H93</f>
        <v>40555.850000000006</v>
      </c>
      <c r="M93" s="16"/>
      <c r="N93" s="33">
        <f>IF(H93=0,0,L93/H93)</f>
        <v>-0.45907035758063724</v>
      </c>
      <c r="O93" s="25"/>
      <c r="P93" s="31">
        <f>SUM(P90:P92)</f>
        <v>-47787.580000000016</v>
      </c>
      <c r="Q93" s="13"/>
      <c r="R93" s="33">
        <f>IF(P$12=0,0,P93/P$12)</f>
        <v>-0.50141050486693972</v>
      </c>
      <c r="S93" s="13"/>
      <c r="T93" s="31">
        <f>SUM(T90:T92)</f>
        <v>-88343.430000000022</v>
      </c>
      <c r="U93" s="13"/>
      <c r="V93" s="33">
        <f>IF(T$12=0,0,T93/T$12)</f>
        <v>-0.42479528129140837</v>
      </c>
      <c r="W93" s="16"/>
      <c r="X93" s="31">
        <f>+P93-T93</f>
        <v>40555.850000000006</v>
      </c>
      <c r="Y93" s="16"/>
      <c r="Z93" s="33">
        <f>IF(T93=0,0,X93/T93)</f>
        <v>-0.45907035758063724</v>
      </c>
    </row>
    <row r="94" spans="1:26" ht="15" thickTop="1" x14ac:dyDescent="0.3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9">
        <v>44462.666930208332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7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61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95306.299999999988</v>
      </c>
      <c r="E12" s="4"/>
      <c r="F12" s="11"/>
      <c r="G12" s="4"/>
      <c r="H12" s="4">
        <f>SUM(OSRRefH13x_0)</f>
        <v>207967.07</v>
      </c>
      <c r="I12" s="4"/>
      <c r="J12" s="11"/>
      <c r="K12" s="4"/>
      <c r="L12" s="4">
        <f t="shared" ref="L12:L30" si="0">+D12-H12</f>
        <v>-112660.77000000002</v>
      </c>
      <c r="M12" s="4"/>
      <c r="N12" s="11">
        <f t="shared" ref="N12:N30" si="1">IF(H12=0,0,L12/H12)</f>
        <v>-0.54172408160580432</v>
      </c>
      <c r="O12" s="10"/>
      <c r="P12" s="4">
        <f>SUM(OSRRefP13x_0)</f>
        <v>95306.299999999988</v>
      </c>
      <c r="Q12" s="4"/>
      <c r="R12" s="11"/>
      <c r="S12" s="4"/>
      <c r="T12" s="4">
        <f>SUM(OSRRefT13x_0)</f>
        <v>207967.07</v>
      </c>
      <c r="U12" s="4"/>
      <c r="V12" s="11"/>
      <c r="W12" s="4"/>
      <c r="X12" s="4">
        <f t="shared" ref="X12:X30" si="2">+P12-T12</f>
        <v>-112660.77000000002</v>
      </c>
      <c r="Y12" s="4"/>
      <c r="Z12" s="11">
        <f t="shared" ref="Z12:Z30" si="3">IF(T12=0,0,X12/T12)</f>
        <v>-0.54172408160580432</v>
      </c>
    </row>
    <row r="13" spans="1:26" s="24" customFormat="1" hidden="1" outlineLevel="1" x14ac:dyDescent="0.3">
      <c r="A13" s="50"/>
      <c r="B13" s="12" t="str">
        <f>CONCATENATE("          ", "4000", " - ", "TAXABLE SALES")</f>
        <v xml:space="preserve">          4000 - TAXABLE SALES</v>
      </c>
      <c r="C13" s="12"/>
      <c r="D13" s="3">
        <f>--81956.26</f>
        <v>81956.259999999995</v>
      </c>
      <c r="E13" s="3"/>
      <c r="F13" s="22"/>
      <c r="G13" s="3"/>
      <c r="H13" s="3">
        <f>-370.91</f>
        <v>-370.91</v>
      </c>
      <c r="I13" s="3"/>
      <c r="J13" s="22"/>
      <c r="K13" s="3"/>
      <c r="L13" s="3">
        <f t="shared" si="0"/>
        <v>82327.17</v>
      </c>
      <c r="M13" s="3"/>
      <c r="N13" s="22">
        <f t="shared" si="1"/>
        <v>-221.95996333342319</v>
      </c>
      <c r="O13" s="12"/>
      <c r="P13" s="3">
        <f>--81956.26</f>
        <v>81956.259999999995</v>
      </c>
      <c r="Q13" s="3"/>
      <c r="R13" s="22"/>
      <c r="S13" s="3"/>
      <c r="T13" s="3">
        <f>-370.91</f>
        <v>-370.91</v>
      </c>
      <c r="U13" s="3"/>
      <c r="V13" s="22"/>
      <c r="W13" s="3"/>
      <c r="X13" s="3">
        <f t="shared" si="2"/>
        <v>82327.17</v>
      </c>
      <c r="Y13" s="3"/>
      <c r="Z13" s="22">
        <f t="shared" si="3"/>
        <v>-221.95996333342319</v>
      </c>
    </row>
    <row r="14" spans="1:26" s="24" customFormat="1" hidden="1" outlineLevel="1" x14ac:dyDescent="0.3">
      <c r="A14" s="50"/>
      <c r="B14" s="12" t="str">
        <f>CONCATENATE("          ", "4081", " - ", "TAXABLE SALES-ELECTRONICS")</f>
        <v xml:space="preserve">          4081 - TAXABLE SALES-ELECTRONICS</v>
      </c>
      <c r="C14" s="12"/>
      <c r="D14" s="3">
        <f t="shared" ref="D14:D18" si="4">0</f>
        <v>0</v>
      </c>
      <c r="E14" s="3"/>
      <c r="F14" s="22"/>
      <c r="G14" s="3"/>
      <c r="H14" s="3">
        <f>--21557.16</f>
        <v>21557.16</v>
      </c>
      <c r="I14" s="3"/>
      <c r="J14" s="22"/>
      <c r="K14" s="3"/>
      <c r="L14" s="3">
        <f t="shared" si="0"/>
        <v>-21557.16</v>
      </c>
      <c r="M14" s="3"/>
      <c r="N14" s="22">
        <f t="shared" si="1"/>
        <v>-1</v>
      </c>
      <c r="O14" s="12"/>
      <c r="P14" s="3">
        <f t="shared" ref="P14:P18" si="5">0</f>
        <v>0</v>
      </c>
      <c r="Q14" s="3"/>
      <c r="R14" s="22"/>
      <c r="S14" s="3"/>
      <c r="T14" s="3">
        <f>--21557.16</f>
        <v>21557.16</v>
      </c>
      <c r="U14" s="3"/>
      <c r="V14" s="22"/>
      <c r="W14" s="3"/>
      <c r="X14" s="3">
        <f t="shared" si="2"/>
        <v>-21557.16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"4082", " - ", "TAXABLE SALES-COMPUTER HARDWAR")</f>
        <v xml:space="preserve">          4082 - TAXABLE SALES-COMPUTER HARDWAR</v>
      </c>
      <c r="C15" s="12"/>
      <c r="D15" s="3">
        <f t="shared" si="4"/>
        <v>0</v>
      </c>
      <c r="E15" s="3"/>
      <c r="F15" s="22"/>
      <c r="G15" s="3"/>
      <c r="H15" s="3">
        <f>--137228.87</f>
        <v>137228.87</v>
      </c>
      <c r="I15" s="3"/>
      <c r="J15" s="22"/>
      <c r="K15" s="3"/>
      <c r="L15" s="3">
        <f t="shared" si="0"/>
        <v>-137228.87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--137228.87</f>
        <v>137228.87</v>
      </c>
      <c r="U15" s="3"/>
      <c r="V15" s="22"/>
      <c r="W15" s="3"/>
      <c r="X15" s="3">
        <f t="shared" si="2"/>
        <v>-137228.87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"4083", " - ", "TAXABLE SALES-COMPUTER EQUIPME")</f>
        <v xml:space="preserve">          4083 - TAXABLE SALES-COMPUTER EQUIPME</v>
      </c>
      <c r="C16" s="12"/>
      <c r="D16" s="3">
        <f t="shared" si="4"/>
        <v>0</v>
      </c>
      <c r="E16" s="3"/>
      <c r="F16" s="22"/>
      <c r="G16" s="3"/>
      <c r="H16" s="3">
        <f>--6790.15</f>
        <v>6790.15</v>
      </c>
      <c r="I16" s="3"/>
      <c r="J16" s="22"/>
      <c r="K16" s="3"/>
      <c r="L16" s="3">
        <f t="shared" si="0"/>
        <v>-6790.15</v>
      </c>
      <c r="M16" s="3"/>
      <c r="N16" s="22">
        <f t="shared" si="1"/>
        <v>-1</v>
      </c>
      <c r="O16" s="12"/>
      <c r="P16" s="3">
        <f t="shared" si="5"/>
        <v>0</v>
      </c>
      <c r="Q16" s="3"/>
      <c r="R16" s="22"/>
      <c r="S16" s="3"/>
      <c r="T16" s="3">
        <f>--6790.15</f>
        <v>6790.15</v>
      </c>
      <c r="U16" s="3"/>
      <c r="V16" s="22"/>
      <c r="W16" s="3"/>
      <c r="X16" s="3">
        <f t="shared" si="2"/>
        <v>-6790.15</v>
      </c>
      <c r="Y16" s="3"/>
      <c r="Z16" s="22">
        <f t="shared" si="3"/>
        <v>-1</v>
      </c>
    </row>
    <row r="17" spans="1:26" s="24" customFormat="1" hidden="1" outlineLevel="1" x14ac:dyDescent="0.3">
      <c r="A17" s="50"/>
      <c r="B17" s="12" t="str">
        <f>CONCATENATE("          ", "4085", " - ", "TAXABLE SALES-SOFTWARE")</f>
        <v xml:space="preserve">          4085 - TAXABLE SALES-SOFTWARE</v>
      </c>
      <c r="C17" s="12"/>
      <c r="D17" s="3">
        <f t="shared" si="4"/>
        <v>0</v>
      </c>
      <c r="E17" s="3"/>
      <c r="F17" s="22"/>
      <c r="G17" s="3"/>
      <c r="H17" s="3">
        <f>0</f>
        <v>0</v>
      </c>
      <c r="I17" s="3"/>
      <c r="J17" s="22"/>
      <c r="K17" s="3"/>
      <c r="L17" s="3">
        <f t="shared" si="0"/>
        <v>0</v>
      </c>
      <c r="M17" s="3"/>
      <c r="N17" s="22">
        <f t="shared" si="1"/>
        <v>0</v>
      </c>
      <c r="O17" s="12"/>
      <c r="P17" s="3">
        <f t="shared" si="5"/>
        <v>0</v>
      </c>
      <c r="Q17" s="3"/>
      <c r="R17" s="22"/>
      <c r="S17" s="3"/>
      <c r="T17" s="3">
        <f>0</f>
        <v>0</v>
      </c>
      <c r="U17" s="3"/>
      <c r="V17" s="22"/>
      <c r="W17" s="3"/>
      <c r="X17" s="3">
        <f t="shared" si="2"/>
        <v>0</v>
      </c>
      <c r="Y17" s="3"/>
      <c r="Z17" s="22">
        <f t="shared" si="3"/>
        <v>0</v>
      </c>
    </row>
    <row r="18" spans="1:26" s="24" customFormat="1" hidden="1" outlineLevel="1" x14ac:dyDescent="0.3">
      <c r="A18" s="50"/>
      <c r="B18" s="12" t="str">
        <f>CONCATENATE("          ", "4086", " - ", "TAXABLE SALES-COMPUTER SUPPLIE")</f>
        <v xml:space="preserve">          4086 - TAXABLE SALES-COMPUTER SUPPLIE</v>
      </c>
      <c r="C18" s="12"/>
      <c r="D18" s="3">
        <f t="shared" si="4"/>
        <v>0</v>
      </c>
      <c r="E18" s="3"/>
      <c r="F18" s="22"/>
      <c r="G18" s="3"/>
      <c r="H18" s="3">
        <f>--25959.21</f>
        <v>25959.21</v>
      </c>
      <c r="I18" s="3"/>
      <c r="J18" s="22"/>
      <c r="K18" s="3"/>
      <c r="L18" s="3">
        <f t="shared" si="0"/>
        <v>-25959.21</v>
      </c>
      <c r="M18" s="3"/>
      <c r="N18" s="22">
        <f t="shared" si="1"/>
        <v>-1</v>
      </c>
      <c r="O18" s="12"/>
      <c r="P18" s="3">
        <f t="shared" si="5"/>
        <v>0</v>
      </c>
      <c r="Q18" s="3"/>
      <c r="R18" s="22"/>
      <c r="S18" s="3"/>
      <c r="T18" s="3">
        <f>--25959.21</f>
        <v>25959.21</v>
      </c>
      <c r="U18" s="3"/>
      <c r="V18" s="22"/>
      <c r="W18" s="3"/>
      <c r="X18" s="3">
        <f t="shared" si="2"/>
        <v>-25959.21</v>
      </c>
      <c r="Y18" s="3"/>
      <c r="Z18" s="22">
        <f t="shared" si="3"/>
        <v>-1</v>
      </c>
    </row>
    <row r="19" spans="1:26" s="24" customFormat="1" hidden="1" outlineLevel="1" x14ac:dyDescent="0.3">
      <c r="A19" s="50"/>
      <c r="B19" s="12" t="str">
        <f>CONCATENATE("          ", "4100", " - ", "NON-TAXABLE SALES")</f>
        <v xml:space="preserve">          4100 - NON-TAXABLE SALES</v>
      </c>
      <c r="C19" s="12"/>
      <c r="D19" s="3">
        <f>--40967.98</f>
        <v>40967.980000000003</v>
      </c>
      <c r="E19" s="3"/>
      <c r="F19" s="22"/>
      <c r="G19" s="3"/>
      <c r="H19" s="3">
        <f>0</f>
        <v>0</v>
      </c>
      <c r="I19" s="3"/>
      <c r="J19" s="22"/>
      <c r="K19" s="3"/>
      <c r="L19" s="3">
        <f t="shared" si="0"/>
        <v>40967.980000000003</v>
      </c>
      <c r="M19" s="3"/>
      <c r="N19" s="22">
        <f t="shared" si="1"/>
        <v>0</v>
      </c>
      <c r="O19" s="12"/>
      <c r="P19" s="3">
        <f>--40967.98</f>
        <v>40967.980000000003</v>
      </c>
      <c r="Q19" s="3"/>
      <c r="R19" s="22"/>
      <c r="S19" s="3"/>
      <c r="T19" s="3">
        <f>0</f>
        <v>0</v>
      </c>
      <c r="U19" s="3"/>
      <c r="V19" s="22"/>
      <c r="W19" s="3"/>
      <c r="X19" s="3">
        <f t="shared" si="2"/>
        <v>40967.980000000003</v>
      </c>
      <c r="Y19" s="3"/>
      <c r="Z19" s="22">
        <f t="shared" si="3"/>
        <v>0</v>
      </c>
    </row>
    <row r="20" spans="1:26" s="24" customFormat="1" hidden="1" outlineLevel="1" x14ac:dyDescent="0.3">
      <c r="A20" s="50"/>
      <c r="B20" s="12" t="str">
        <f>CONCATENATE("          ", "4181", " - ", "NON-TAXABLE SALES-ELECTRONICS")</f>
        <v xml:space="preserve">          4181 - NON-TAXABLE SALES-ELECTRONICS</v>
      </c>
      <c r="C20" s="12"/>
      <c r="D20" s="3">
        <f t="shared" ref="D20:D24" si="6">0</f>
        <v>0</v>
      </c>
      <c r="E20" s="3"/>
      <c r="F20" s="22"/>
      <c r="G20" s="3"/>
      <c r="H20" s="3">
        <f>--289.98</f>
        <v>289.98</v>
      </c>
      <c r="I20" s="3"/>
      <c r="J20" s="22"/>
      <c r="K20" s="3"/>
      <c r="L20" s="3">
        <f t="shared" si="0"/>
        <v>-289.98</v>
      </c>
      <c r="M20" s="3"/>
      <c r="N20" s="22">
        <f t="shared" si="1"/>
        <v>-1</v>
      </c>
      <c r="O20" s="12"/>
      <c r="P20" s="3">
        <f t="shared" ref="P20:P24" si="7">0</f>
        <v>0</v>
      </c>
      <c r="Q20" s="3"/>
      <c r="R20" s="22"/>
      <c r="S20" s="3"/>
      <c r="T20" s="3">
        <f>--289.98</f>
        <v>289.98</v>
      </c>
      <c r="U20" s="3"/>
      <c r="V20" s="22"/>
      <c r="W20" s="3"/>
      <c r="X20" s="3">
        <f t="shared" si="2"/>
        <v>-289.98</v>
      </c>
      <c r="Y20" s="3"/>
      <c r="Z20" s="22">
        <f t="shared" si="3"/>
        <v>-1</v>
      </c>
    </row>
    <row r="21" spans="1:26" s="24" customFormat="1" hidden="1" outlineLevel="1" x14ac:dyDescent="0.3">
      <c r="A21" s="50"/>
      <c r="B21" s="12" t="str">
        <f>CONCATENATE("          ", "4182", " - ", "NON-TAXABLE SALES-COMPUTER HAR")</f>
        <v xml:space="preserve">          4182 - NON-TAXABLE SALES-COMPUTER HAR</v>
      </c>
      <c r="C21" s="12"/>
      <c r="D21" s="3">
        <f t="shared" si="6"/>
        <v>0</v>
      </c>
      <c r="E21" s="3"/>
      <c r="F21" s="22"/>
      <c r="G21" s="3"/>
      <c r="H21" s="3">
        <f>--35876.99</f>
        <v>35876.99</v>
      </c>
      <c r="I21" s="3"/>
      <c r="J21" s="22"/>
      <c r="K21" s="3"/>
      <c r="L21" s="3">
        <f t="shared" si="0"/>
        <v>-35876.99</v>
      </c>
      <c r="M21" s="3"/>
      <c r="N21" s="22">
        <f t="shared" si="1"/>
        <v>-1</v>
      </c>
      <c r="O21" s="12"/>
      <c r="P21" s="3">
        <f t="shared" si="7"/>
        <v>0</v>
      </c>
      <c r="Q21" s="3"/>
      <c r="R21" s="22"/>
      <c r="S21" s="3"/>
      <c r="T21" s="3">
        <f>--35876.99</f>
        <v>35876.99</v>
      </c>
      <c r="U21" s="3"/>
      <c r="V21" s="22"/>
      <c r="W21" s="3"/>
      <c r="X21" s="3">
        <f t="shared" si="2"/>
        <v>-35876.99</v>
      </c>
      <c r="Y21" s="3"/>
      <c r="Z21" s="22">
        <f t="shared" si="3"/>
        <v>-1</v>
      </c>
    </row>
    <row r="22" spans="1:26" s="24" customFormat="1" hidden="1" outlineLevel="1" x14ac:dyDescent="0.3">
      <c r="A22" s="50"/>
      <c r="B22" s="12" t="str">
        <f>CONCATENATE("          ", "4183", " - ", "NON-TAXABLE SALES-COMPUTER EQU")</f>
        <v xml:space="preserve">          4183 - NON-TAXABLE SALES-COMPUTER EQU</v>
      </c>
      <c r="C22" s="12"/>
      <c r="D22" s="3">
        <f t="shared" si="6"/>
        <v>0</v>
      </c>
      <c r="E22" s="3"/>
      <c r="F22" s="22"/>
      <c r="G22" s="3"/>
      <c r="H22" s="3">
        <f>--1359.85</f>
        <v>1359.85</v>
      </c>
      <c r="I22" s="3"/>
      <c r="J22" s="22"/>
      <c r="K22" s="3"/>
      <c r="L22" s="3">
        <f t="shared" si="0"/>
        <v>-1359.85</v>
      </c>
      <c r="M22" s="3"/>
      <c r="N22" s="22">
        <f t="shared" si="1"/>
        <v>-1</v>
      </c>
      <c r="O22" s="12"/>
      <c r="P22" s="3">
        <f t="shared" si="7"/>
        <v>0</v>
      </c>
      <c r="Q22" s="3"/>
      <c r="R22" s="22"/>
      <c r="S22" s="3"/>
      <c r="T22" s="3">
        <f>--1359.85</f>
        <v>1359.85</v>
      </c>
      <c r="U22" s="3"/>
      <c r="V22" s="22"/>
      <c r="W22" s="3"/>
      <c r="X22" s="3">
        <f t="shared" si="2"/>
        <v>-1359.85</v>
      </c>
      <c r="Y22" s="3"/>
      <c r="Z22" s="22">
        <f t="shared" si="3"/>
        <v>-1</v>
      </c>
    </row>
    <row r="23" spans="1:26" s="24" customFormat="1" hidden="1" outlineLevel="1" x14ac:dyDescent="0.3">
      <c r="A23" s="50"/>
      <c r="B23" s="12" t="str">
        <f>CONCATENATE("          ", "4185", " - ", "NON-TAXABLE SALES-SOFTWARE")</f>
        <v xml:space="preserve">          4185 - NON-TAXABLE SALES-SOFTWARE</v>
      </c>
      <c r="C23" s="12"/>
      <c r="D23" s="3">
        <f t="shared" si="6"/>
        <v>0</v>
      </c>
      <c r="E23" s="3"/>
      <c r="F23" s="22"/>
      <c r="G23" s="3"/>
      <c r="H23" s="3">
        <f>--6187.74</f>
        <v>6187.74</v>
      </c>
      <c r="I23" s="3"/>
      <c r="J23" s="22"/>
      <c r="K23" s="3"/>
      <c r="L23" s="3">
        <f t="shared" si="0"/>
        <v>-6187.74</v>
      </c>
      <c r="M23" s="3"/>
      <c r="N23" s="22">
        <f t="shared" si="1"/>
        <v>-1</v>
      </c>
      <c r="O23" s="12"/>
      <c r="P23" s="3">
        <f t="shared" si="7"/>
        <v>0</v>
      </c>
      <c r="Q23" s="3"/>
      <c r="R23" s="22"/>
      <c r="S23" s="3"/>
      <c r="T23" s="3">
        <f>--6187.74</f>
        <v>6187.74</v>
      </c>
      <c r="U23" s="3"/>
      <c r="V23" s="22"/>
      <c r="W23" s="3"/>
      <c r="X23" s="3">
        <f t="shared" si="2"/>
        <v>-6187.74</v>
      </c>
      <c r="Y23" s="3"/>
      <c r="Z23" s="22">
        <f t="shared" si="3"/>
        <v>-1</v>
      </c>
    </row>
    <row r="24" spans="1:26" s="24" customFormat="1" hidden="1" outlineLevel="1" x14ac:dyDescent="0.3">
      <c r="A24" s="50"/>
      <c r="B24" s="12" t="str">
        <f>CONCATENATE("          ", "4186", " - ", "NON-TAXABLE SALES-COMPUTER SUP")</f>
        <v xml:space="preserve">          4186 - NON-TAXABLE SALES-COMPUTER SUP</v>
      </c>
      <c r="C24" s="12"/>
      <c r="D24" s="3">
        <f t="shared" si="6"/>
        <v>0</v>
      </c>
      <c r="E24" s="3"/>
      <c r="F24" s="22"/>
      <c r="G24" s="3"/>
      <c r="H24" s="3">
        <f>--154.95</f>
        <v>154.94999999999999</v>
      </c>
      <c r="I24" s="3"/>
      <c r="J24" s="22"/>
      <c r="K24" s="3"/>
      <c r="L24" s="3">
        <f t="shared" si="0"/>
        <v>-154.94999999999999</v>
      </c>
      <c r="M24" s="3"/>
      <c r="N24" s="22">
        <f t="shared" si="1"/>
        <v>-1</v>
      </c>
      <c r="O24" s="12"/>
      <c r="P24" s="3">
        <f t="shared" si="7"/>
        <v>0</v>
      </c>
      <c r="Q24" s="3"/>
      <c r="R24" s="22"/>
      <c r="S24" s="3"/>
      <c r="T24" s="3">
        <f>--154.95</f>
        <v>154.94999999999999</v>
      </c>
      <c r="U24" s="3"/>
      <c r="V24" s="22"/>
      <c r="W24" s="3"/>
      <c r="X24" s="3">
        <f t="shared" si="2"/>
        <v>-154.94999999999999</v>
      </c>
      <c r="Y24" s="3"/>
      <c r="Z24" s="22">
        <f t="shared" si="3"/>
        <v>-1</v>
      </c>
    </row>
    <row r="25" spans="1:26" s="24" customFormat="1" hidden="1" outlineLevel="1" x14ac:dyDescent="0.3">
      <c r="A25" s="50"/>
      <c r="B25" s="12" t="str">
        <f>CONCATENATE("          ", "4200", " - ", "TAXABLE RETURNS")</f>
        <v xml:space="preserve">          4200 - TAXABLE RETURNS</v>
      </c>
      <c r="C25" s="12"/>
      <c r="D25" s="3">
        <f>-27218.94</f>
        <v>-27218.94</v>
      </c>
      <c r="E25" s="3"/>
      <c r="F25" s="22"/>
      <c r="G25" s="3"/>
      <c r="H25" s="3">
        <f>0</f>
        <v>0</v>
      </c>
      <c r="I25" s="3"/>
      <c r="J25" s="22"/>
      <c r="K25" s="3"/>
      <c r="L25" s="3">
        <f t="shared" si="0"/>
        <v>-27218.94</v>
      </c>
      <c r="M25" s="3"/>
      <c r="N25" s="22">
        <f t="shared" si="1"/>
        <v>0</v>
      </c>
      <c r="O25" s="12"/>
      <c r="P25" s="3">
        <f>-27218.94</f>
        <v>-27218.94</v>
      </c>
      <c r="Q25" s="3"/>
      <c r="R25" s="22"/>
      <c r="S25" s="3"/>
      <c r="T25" s="3">
        <f>0</f>
        <v>0</v>
      </c>
      <c r="U25" s="3"/>
      <c r="V25" s="22"/>
      <c r="W25" s="3"/>
      <c r="X25" s="3">
        <f t="shared" si="2"/>
        <v>-27218.94</v>
      </c>
      <c r="Y25" s="3"/>
      <c r="Z25" s="22">
        <f t="shared" si="3"/>
        <v>0</v>
      </c>
    </row>
    <row r="26" spans="1:26" s="24" customFormat="1" hidden="1" outlineLevel="1" x14ac:dyDescent="0.3">
      <c r="A26" s="50"/>
      <c r="B26" s="12" t="str">
        <f>CONCATENATE("          ", "4281", " - ", "SALES RETURN TAXABLE-ELECTRONI")</f>
        <v xml:space="preserve">          4281 - SALES RETURN TAXABLE-ELECTRONI</v>
      </c>
      <c r="C26" s="12"/>
      <c r="D26" s="3">
        <f t="shared" ref="D26:D28" si="8">0</f>
        <v>0</v>
      </c>
      <c r="E26" s="3"/>
      <c r="F26" s="22"/>
      <c r="G26" s="3"/>
      <c r="H26" s="3">
        <f>-6291.99</f>
        <v>-6291.99</v>
      </c>
      <c r="I26" s="3"/>
      <c r="J26" s="22"/>
      <c r="K26" s="3"/>
      <c r="L26" s="3">
        <f t="shared" si="0"/>
        <v>6291.99</v>
      </c>
      <c r="M26" s="3"/>
      <c r="N26" s="22">
        <f t="shared" si="1"/>
        <v>-1</v>
      </c>
      <c r="O26" s="12"/>
      <c r="P26" s="3">
        <f t="shared" ref="P26:P28" si="9">0</f>
        <v>0</v>
      </c>
      <c r="Q26" s="3"/>
      <c r="R26" s="22"/>
      <c r="S26" s="3"/>
      <c r="T26" s="3">
        <f>-6291.99</f>
        <v>-6291.99</v>
      </c>
      <c r="U26" s="3"/>
      <c r="V26" s="22"/>
      <c r="W26" s="3"/>
      <c r="X26" s="3">
        <f t="shared" si="2"/>
        <v>6291.99</v>
      </c>
      <c r="Y26" s="3"/>
      <c r="Z26" s="22">
        <f t="shared" si="3"/>
        <v>-1</v>
      </c>
    </row>
    <row r="27" spans="1:26" s="24" customFormat="1" hidden="1" outlineLevel="1" x14ac:dyDescent="0.3">
      <c r="A27" s="50"/>
      <c r="B27" s="12" t="str">
        <f>CONCATENATE("          ", "4282", " - ", "SALES RETURN TAXABLE-COMPUTER")</f>
        <v xml:space="preserve">          4282 - SALES RETURN TAXABLE-COMPUTER</v>
      </c>
      <c r="C27" s="12"/>
      <c r="D27" s="3">
        <f t="shared" si="8"/>
        <v>0</v>
      </c>
      <c r="E27" s="3"/>
      <c r="F27" s="22"/>
      <c r="G27" s="3"/>
      <c r="H27" s="3">
        <f>-18207</f>
        <v>-18207</v>
      </c>
      <c r="I27" s="3"/>
      <c r="J27" s="22"/>
      <c r="K27" s="3"/>
      <c r="L27" s="3">
        <f t="shared" si="0"/>
        <v>18207</v>
      </c>
      <c r="M27" s="3"/>
      <c r="N27" s="22">
        <f t="shared" si="1"/>
        <v>-1</v>
      </c>
      <c r="O27" s="12"/>
      <c r="P27" s="3">
        <f t="shared" si="9"/>
        <v>0</v>
      </c>
      <c r="Q27" s="3"/>
      <c r="R27" s="22"/>
      <c r="S27" s="3"/>
      <c r="T27" s="3">
        <f>-18207</f>
        <v>-18207</v>
      </c>
      <c r="U27" s="3"/>
      <c r="V27" s="22"/>
      <c r="W27" s="3"/>
      <c r="X27" s="3">
        <f t="shared" si="2"/>
        <v>18207</v>
      </c>
      <c r="Y27" s="3"/>
      <c r="Z27" s="22">
        <f t="shared" si="3"/>
        <v>-1</v>
      </c>
    </row>
    <row r="28" spans="1:26" s="24" customFormat="1" hidden="1" outlineLevel="1" x14ac:dyDescent="0.3">
      <c r="A28" s="50"/>
      <c r="B28" s="12" t="str">
        <f>CONCATENATE("          ", "4283", " - ", "SALES RETURN TAXABLE-COMPUTER")</f>
        <v xml:space="preserve">          4283 - SALES RETURN TAXABLE-COMPUTER</v>
      </c>
      <c r="C28" s="12"/>
      <c r="D28" s="3">
        <f t="shared" si="8"/>
        <v>0</v>
      </c>
      <c r="E28" s="3"/>
      <c r="F28" s="22"/>
      <c r="G28" s="3"/>
      <c r="H28" s="3">
        <f>-818.93</f>
        <v>-818.93</v>
      </c>
      <c r="I28" s="3"/>
      <c r="J28" s="22"/>
      <c r="K28" s="3"/>
      <c r="L28" s="3">
        <f t="shared" si="0"/>
        <v>818.93</v>
      </c>
      <c r="M28" s="3"/>
      <c r="N28" s="22">
        <f t="shared" si="1"/>
        <v>-1</v>
      </c>
      <c r="O28" s="12"/>
      <c r="P28" s="3">
        <f t="shared" si="9"/>
        <v>0</v>
      </c>
      <c r="Q28" s="3"/>
      <c r="R28" s="22"/>
      <c r="S28" s="3"/>
      <c r="T28" s="3">
        <f>-818.93</f>
        <v>-818.93</v>
      </c>
      <c r="U28" s="3"/>
      <c r="V28" s="22"/>
      <c r="W28" s="3"/>
      <c r="X28" s="3">
        <f t="shared" si="2"/>
        <v>818.93</v>
      </c>
      <c r="Y28" s="3"/>
      <c r="Z28" s="22">
        <f t="shared" si="3"/>
        <v>-1</v>
      </c>
    </row>
    <row r="29" spans="1:26" s="24" customFormat="1" hidden="1" outlineLevel="1" x14ac:dyDescent="0.3">
      <c r="A29" s="50"/>
      <c r="B29" s="12" t="str">
        <f>CONCATENATE("          ", "4300", " - ", "NON-TAX RETURNS")</f>
        <v xml:space="preserve">          4300 - NON-TAX RETURNS</v>
      </c>
      <c r="C29" s="12"/>
      <c r="D29" s="3">
        <f>-399</f>
        <v>-399</v>
      </c>
      <c r="E29" s="3"/>
      <c r="F29" s="22"/>
      <c r="G29" s="3"/>
      <c r="H29" s="3">
        <f>0</f>
        <v>0</v>
      </c>
      <c r="I29" s="3"/>
      <c r="J29" s="22"/>
      <c r="K29" s="3"/>
      <c r="L29" s="3">
        <f t="shared" si="0"/>
        <v>-399</v>
      </c>
      <c r="M29" s="3"/>
      <c r="N29" s="22">
        <f t="shared" si="1"/>
        <v>0</v>
      </c>
      <c r="O29" s="12"/>
      <c r="P29" s="3">
        <f>-399</f>
        <v>-399</v>
      </c>
      <c r="Q29" s="3"/>
      <c r="R29" s="22"/>
      <c r="S29" s="3"/>
      <c r="T29" s="3">
        <f>0</f>
        <v>0</v>
      </c>
      <c r="U29" s="3"/>
      <c r="V29" s="22"/>
      <c r="W29" s="3"/>
      <c r="X29" s="3">
        <f t="shared" si="2"/>
        <v>-399</v>
      </c>
      <c r="Y29" s="3"/>
      <c r="Z29" s="22">
        <f t="shared" si="3"/>
        <v>0</v>
      </c>
    </row>
    <row r="30" spans="1:26" s="24" customFormat="1" hidden="1" outlineLevel="1" x14ac:dyDescent="0.3">
      <c r="A30" s="50"/>
      <c r="B30" s="12" t="str">
        <f>CONCATENATE("          ", "4381", " - ", "SALES RETURN NON TAXABLE-ELECT")</f>
        <v xml:space="preserve">          4381 - SALES RETURN NON TAXABLE-ELECT</v>
      </c>
      <c r="C30" s="12"/>
      <c r="D30" s="3">
        <f>0</f>
        <v>0</v>
      </c>
      <c r="E30" s="3"/>
      <c r="F30" s="22"/>
      <c r="G30" s="3"/>
      <c r="H30" s="3">
        <f>-1749</f>
        <v>-1749</v>
      </c>
      <c r="I30" s="3"/>
      <c r="J30" s="22"/>
      <c r="K30" s="3"/>
      <c r="L30" s="3">
        <f t="shared" si="0"/>
        <v>1749</v>
      </c>
      <c r="M30" s="3"/>
      <c r="N30" s="22">
        <f t="shared" si="1"/>
        <v>-1</v>
      </c>
      <c r="O30" s="12"/>
      <c r="P30" s="3">
        <f>0</f>
        <v>0</v>
      </c>
      <c r="Q30" s="3"/>
      <c r="R30" s="22"/>
      <c r="S30" s="3"/>
      <c r="T30" s="3">
        <f>-1749</f>
        <v>-1749</v>
      </c>
      <c r="U30" s="3"/>
      <c r="V30" s="22"/>
      <c r="W30" s="3"/>
      <c r="X30" s="3">
        <f t="shared" si="2"/>
        <v>1749</v>
      </c>
      <c r="Y30" s="3"/>
      <c r="Z30" s="22">
        <f t="shared" si="3"/>
        <v>-1</v>
      </c>
    </row>
    <row r="31" spans="1:26" x14ac:dyDescent="0.3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collapsed="1" x14ac:dyDescent="0.3">
      <c r="A32" s="10"/>
      <c r="B32" s="25" t="s">
        <v>256</v>
      </c>
      <c r="C32" s="10"/>
      <c r="D32" s="4">
        <f>SUM(OSRRefD16x_0)</f>
        <v>82371.47</v>
      </c>
      <c r="E32" s="4"/>
      <c r="F32" s="11">
        <f t="shared" ref="F32:F42" si="10">IF(D$12=0,0,D32/D$12)</f>
        <v>0.86428147981822834</v>
      </c>
      <c r="G32" s="4"/>
      <c r="H32" s="4">
        <f>SUM(OSRRefH16x_0)</f>
        <v>183956.00000000003</v>
      </c>
      <c r="I32" s="4"/>
      <c r="J32" s="11">
        <f t="shared" ref="J32:J42" si="11">IF(H$12=0,0,H32/H$12)</f>
        <v>0.88454388476021717</v>
      </c>
      <c r="K32" s="4"/>
      <c r="L32" s="4">
        <f t="shared" ref="L32:L42" si="12">+D32-H32</f>
        <v>-101584.53000000003</v>
      </c>
      <c r="M32" s="4"/>
      <c r="N32" s="11">
        <f t="shared" ref="N32:N42" si="13">IF(H32=0,0,L32/H32)</f>
        <v>-0.55222189001717803</v>
      </c>
      <c r="O32" s="10"/>
      <c r="P32" s="4">
        <f>SUM(OSRRefP16x_0)</f>
        <v>82371.47</v>
      </c>
      <c r="Q32" s="4"/>
      <c r="R32" s="11">
        <f t="shared" ref="R32:R42" si="14">IF(P$12=0,0,P32/P$12)</f>
        <v>0.86428147981822834</v>
      </c>
      <c r="S32" s="4"/>
      <c r="T32" s="4">
        <f>SUM(OSRRefT16x_0)</f>
        <v>183956.00000000003</v>
      </c>
      <c r="U32" s="4"/>
      <c r="V32" s="11">
        <f t="shared" ref="V32:V42" si="15">IF(T$12=0,0,T32/T$12)</f>
        <v>0.88454388476021717</v>
      </c>
      <c r="W32" s="4"/>
      <c r="X32" s="4">
        <f t="shared" ref="X32:X42" si="16">+P32-T32</f>
        <v>-101584.53000000003</v>
      </c>
      <c r="Y32" s="4"/>
      <c r="Z32" s="11">
        <f t="shared" ref="Z32:Z42" si="17">IF(T32=0,0,X32/T32)</f>
        <v>-0.55222189001717803</v>
      </c>
    </row>
    <row r="33" spans="1:26" s="24" customFormat="1" hidden="1" outlineLevel="1" x14ac:dyDescent="0.3">
      <c r="A33" s="50"/>
      <c r="B33" s="12" t="str">
        <f>CONCATENATE("          ", "5000", " - ", "PURCHASES @ COST")</f>
        <v xml:space="preserve">          5000 - PURCHASES @ COST</v>
      </c>
      <c r="C33" s="12"/>
      <c r="D33" s="3">
        <v>97362.54</v>
      </c>
      <c r="E33" s="3"/>
      <c r="F33" s="22">
        <f t="shared" si="10"/>
        <v>1.0215750690143255</v>
      </c>
      <c r="G33" s="3"/>
      <c r="H33" s="3"/>
      <c r="I33" s="3"/>
      <c r="J33" s="22">
        <f t="shared" si="11"/>
        <v>0</v>
      </c>
      <c r="K33" s="3"/>
      <c r="L33" s="3">
        <f t="shared" si="12"/>
        <v>97362.54</v>
      </c>
      <c r="M33" s="3"/>
      <c r="N33" s="22">
        <f t="shared" si="13"/>
        <v>0</v>
      </c>
      <c r="O33" s="12"/>
      <c r="P33" s="3">
        <v>97362.54</v>
      </c>
      <c r="Q33" s="3"/>
      <c r="R33" s="22">
        <f t="shared" si="14"/>
        <v>1.0215750690143255</v>
      </c>
      <c r="S33" s="3"/>
      <c r="T33" s="3"/>
      <c r="U33" s="3"/>
      <c r="V33" s="22">
        <f t="shared" si="15"/>
        <v>0</v>
      </c>
      <c r="W33" s="3"/>
      <c r="X33" s="3">
        <f t="shared" si="16"/>
        <v>97362.54</v>
      </c>
      <c r="Y33" s="3"/>
      <c r="Z33" s="22">
        <f t="shared" si="17"/>
        <v>0</v>
      </c>
    </row>
    <row r="34" spans="1:26" s="24" customFormat="1" hidden="1" outlineLevel="1" x14ac:dyDescent="0.3">
      <c r="A34" s="50"/>
      <c r="B34" s="12" t="str">
        <f>CONCATENATE("          ", "5081", " - ", "PURCHASES @ COST-ELECTRONICS")</f>
        <v xml:space="preserve">          5081 - PURCHASES @ COST-ELECTRONICS</v>
      </c>
      <c r="C34" s="12"/>
      <c r="D34" s="3">
        <v>0</v>
      </c>
      <c r="E34" s="3"/>
      <c r="F34" s="22">
        <f t="shared" si="10"/>
        <v>0</v>
      </c>
      <c r="G34" s="3"/>
      <c r="H34" s="3">
        <v>6676.92</v>
      </c>
      <c r="I34" s="3"/>
      <c r="J34" s="22">
        <f t="shared" si="11"/>
        <v>3.2105659804698886E-2</v>
      </c>
      <c r="K34" s="3"/>
      <c r="L34" s="3">
        <f t="shared" si="12"/>
        <v>-6676.92</v>
      </c>
      <c r="M34" s="3"/>
      <c r="N34" s="22">
        <f t="shared" si="13"/>
        <v>-1</v>
      </c>
      <c r="O34" s="12"/>
      <c r="P34" s="3">
        <v>0</v>
      </c>
      <c r="Q34" s="3"/>
      <c r="R34" s="22">
        <f t="shared" si="14"/>
        <v>0</v>
      </c>
      <c r="S34" s="3"/>
      <c r="T34" s="3">
        <v>6676.92</v>
      </c>
      <c r="U34" s="3"/>
      <c r="V34" s="22">
        <f t="shared" si="15"/>
        <v>3.2105659804698886E-2</v>
      </c>
      <c r="W34" s="3"/>
      <c r="X34" s="3">
        <f t="shared" si="16"/>
        <v>-6676.92</v>
      </c>
      <c r="Y34" s="3"/>
      <c r="Z34" s="22">
        <f t="shared" si="17"/>
        <v>-1</v>
      </c>
    </row>
    <row r="35" spans="1:26" s="24" customFormat="1" hidden="1" outlineLevel="1" x14ac:dyDescent="0.3">
      <c r="A35" s="50"/>
      <c r="B35" s="12" t="str">
        <f>CONCATENATE("          ", "5082", " - ", "PURCHASES @ COST-COMPUTER HARD")</f>
        <v xml:space="preserve">          5082 - PURCHASES @ COST-COMPUTER HARD</v>
      </c>
      <c r="C35" s="12"/>
      <c r="D35" s="3">
        <v>-10902.62</v>
      </c>
      <c r="E35" s="3"/>
      <c r="F35" s="22">
        <f t="shared" si="10"/>
        <v>-0.1143955856013716</v>
      </c>
      <c r="G35" s="3"/>
      <c r="H35" s="3">
        <v>186472.57</v>
      </c>
      <c r="I35" s="3"/>
      <c r="J35" s="22">
        <f t="shared" si="11"/>
        <v>0.89664469475864617</v>
      </c>
      <c r="K35" s="3"/>
      <c r="L35" s="3">
        <f t="shared" si="12"/>
        <v>-197375.19</v>
      </c>
      <c r="M35" s="3"/>
      <c r="N35" s="22">
        <f t="shared" si="13"/>
        <v>-1.0584676877676968</v>
      </c>
      <c r="O35" s="12"/>
      <c r="P35" s="3">
        <v>-10902.62</v>
      </c>
      <c r="Q35" s="3"/>
      <c r="R35" s="22">
        <f t="shared" si="14"/>
        <v>-0.1143955856013716</v>
      </c>
      <c r="S35" s="3"/>
      <c r="T35" s="3">
        <v>186472.57</v>
      </c>
      <c r="U35" s="3"/>
      <c r="V35" s="22">
        <f t="shared" si="15"/>
        <v>0.89664469475864617</v>
      </c>
      <c r="W35" s="3"/>
      <c r="X35" s="3">
        <f t="shared" si="16"/>
        <v>-197375.19</v>
      </c>
      <c r="Y35" s="3"/>
      <c r="Z35" s="22">
        <f t="shared" si="17"/>
        <v>-1.0584676877676968</v>
      </c>
    </row>
    <row r="36" spans="1:26" s="24" customFormat="1" hidden="1" outlineLevel="1" x14ac:dyDescent="0.3">
      <c r="A36" s="50"/>
      <c r="B36" s="12" t="str">
        <f>CONCATENATE("          ", "5083", " - ", "PURCHASES @ COST-COMPUTER EQUI")</f>
        <v xml:space="preserve">          5083 - PURCHASES @ COST-COMPUTER EQUI</v>
      </c>
      <c r="C36" s="12"/>
      <c r="D36" s="3">
        <v>0</v>
      </c>
      <c r="E36" s="3"/>
      <c r="F36" s="22">
        <f t="shared" si="10"/>
        <v>0</v>
      </c>
      <c r="G36" s="3"/>
      <c r="H36" s="3">
        <v>29938.3</v>
      </c>
      <c r="I36" s="3"/>
      <c r="J36" s="22">
        <f t="shared" si="11"/>
        <v>0.14395692548825156</v>
      </c>
      <c r="K36" s="3"/>
      <c r="L36" s="3">
        <f t="shared" si="12"/>
        <v>-29938.3</v>
      </c>
      <c r="M36" s="3"/>
      <c r="N36" s="22">
        <f t="shared" si="13"/>
        <v>-1</v>
      </c>
      <c r="O36" s="12"/>
      <c r="P36" s="3">
        <v>0</v>
      </c>
      <c r="Q36" s="3"/>
      <c r="R36" s="22">
        <f t="shared" si="14"/>
        <v>0</v>
      </c>
      <c r="S36" s="3"/>
      <c r="T36" s="3">
        <v>29938.3</v>
      </c>
      <c r="U36" s="3"/>
      <c r="V36" s="22">
        <f t="shared" si="15"/>
        <v>0.14395692548825156</v>
      </c>
      <c r="W36" s="3"/>
      <c r="X36" s="3">
        <f t="shared" si="16"/>
        <v>-29938.3</v>
      </c>
      <c r="Y36" s="3"/>
      <c r="Z36" s="22">
        <f t="shared" si="17"/>
        <v>-1</v>
      </c>
    </row>
    <row r="37" spans="1:26" s="24" customFormat="1" hidden="1" outlineLevel="1" x14ac:dyDescent="0.3">
      <c r="A37" s="50"/>
      <c r="B37" s="12" t="str">
        <f>CONCATENATE("          ", "5085", " - ", "PURCHASES @ COST-SOFTWARE")</f>
        <v xml:space="preserve">          5085 - PURCHASES @ COST-SOFTWARE</v>
      </c>
      <c r="C37" s="12"/>
      <c r="D37" s="3">
        <v>0</v>
      </c>
      <c r="E37" s="3"/>
      <c r="F37" s="22">
        <f t="shared" si="10"/>
        <v>0</v>
      </c>
      <c r="G37" s="3"/>
      <c r="H37" s="3">
        <v>3864.34</v>
      </c>
      <c r="I37" s="3"/>
      <c r="J37" s="22">
        <f t="shared" si="11"/>
        <v>1.858149946527592E-2</v>
      </c>
      <c r="K37" s="3"/>
      <c r="L37" s="3">
        <f t="shared" si="12"/>
        <v>-3864.34</v>
      </c>
      <c r="M37" s="3"/>
      <c r="N37" s="22">
        <f t="shared" si="13"/>
        <v>-1</v>
      </c>
      <c r="O37" s="12"/>
      <c r="P37" s="3">
        <v>0</v>
      </c>
      <c r="Q37" s="3"/>
      <c r="R37" s="22">
        <f t="shared" si="14"/>
        <v>0</v>
      </c>
      <c r="S37" s="3"/>
      <c r="T37" s="3">
        <v>3864.34</v>
      </c>
      <c r="U37" s="3"/>
      <c r="V37" s="22">
        <f t="shared" si="15"/>
        <v>1.858149946527592E-2</v>
      </c>
      <c r="W37" s="3"/>
      <c r="X37" s="3">
        <f t="shared" si="16"/>
        <v>-3864.34</v>
      </c>
      <c r="Y37" s="3"/>
      <c r="Z37" s="22">
        <f t="shared" si="17"/>
        <v>-1</v>
      </c>
    </row>
    <row r="38" spans="1:26" s="24" customFormat="1" hidden="1" outlineLevel="1" x14ac:dyDescent="0.3">
      <c r="A38" s="50"/>
      <c r="B38" s="12" t="str">
        <f>CONCATENATE("          ", "5086", " - ", "PURCHASES @ COST-COMPUTER SUPP")</f>
        <v xml:space="preserve">          5086 - PURCHASES @ COST-COMPUTER SUPP</v>
      </c>
      <c r="C38" s="12"/>
      <c r="D38" s="3">
        <v>0</v>
      </c>
      <c r="E38" s="3"/>
      <c r="F38" s="22">
        <f t="shared" si="10"/>
        <v>0</v>
      </c>
      <c r="G38" s="3"/>
      <c r="H38" s="3">
        <v>87.25</v>
      </c>
      <c r="I38" s="3"/>
      <c r="J38" s="22">
        <f t="shared" si="11"/>
        <v>4.1953757390533026E-4</v>
      </c>
      <c r="K38" s="3"/>
      <c r="L38" s="3">
        <f t="shared" si="12"/>
        <v>-87.25</v>
      </c>
      <c r="M38" s="3"/>
      <c r="N38" s="22">
        <f t="shared" si="13"/>
        <v>-1</v>
      </c>
      <c r="O38" s="12"/>
      <c r="P38" s="3">
        <v>0</v>
      </c>
      <c r="Q38" s="3"/>
      <c r="R38" s="22">
        <f t="shared" si="14"/>
        <v>0</v>
      </c>
      <c r="S38" s="3"/>
      <c r="T38" s="3">
        <v>87.25</v>
      </c>
      <c r="U38" s="3"/>
      <c r="V38" s="22">
        <f t="shared" si="15"/>
        <v>4.1953757390533026E-4</v>
      </c>
      <c r="W38" s="3"/>
      <c r="X38" s="3">
        <f t="shared" si="16"/>
        <v>-87.25</v>
      </c>
      <c r="Y38" s="3"/>
      <c r="Z38" s="22">
        <f t="shared" si="17"/>
        <v>-1</v>
      </c>
    </row>
    <row r="39" spans="1:26" s="24" customFormat="1" hidden="1" outlineLevel="1" x14ac:dyDescent="0.3">
      <c r="A39" s="50"/>
      <c r="B39" s="12" t="str">
        <f>CONCATENATE("          ", "5200", " - ", "PURCHASES OFFSET")</f>
        <v xml:space="preserve">          5200 - PURCHASES OFFSET</v>
      </c>
      <c r="C39" s="12"/>
      <c r="D39" s="3">
        <v>-97382.65</v>
      </c>
      <c r="E39" s="3"/>
      <c r="F39" s="22">
        <f t="shared" si="10"/>
        <v>-1.0217860729038899</v>
      </c>
      <c r="G39" s="3"/>
      <c r="H39" s="3">
        <v>-227056.77</v>
      </c>
      <c r="I39" s="3"/>
      <c r="J39" s="22">
        <f t="shared" si="11"/>
        <v>-1.0917919360983448</v>
      </c>
      <c r="K39" s="3"/>
      <c r="L39" s="3">
        <f t="shared" si="12"/>
        <v>129674.12</v>
      </c>
      <c r="M39" s="3"/>
      <c r="N39" s="22">
        <f t="shared" si="13"/>
        <v>-0.5711088024373816</v>
      </c>
      <c r="O39" s="12"/>
      <c r="P39" s="3">
        <v>-97382.65</v>
      </c>
      <c r="Q39" s="3"/>
      <c r="R39" s="22">
        <f t="shared" si="14"/>
        <v>-1.0217860729038899</v>
      </c>
      <c r="S39" s="3"/>
      <c r="T39" s="3">
        <v>-227056.77</v>
      </c>
      <c r="U39" s="3"/>
      <c r="V39" s="22">
        <f t="shared" si="15"/>
        <v>-1.0917919360983448</v>
      </c>
      <c r="W39" s="3"/>
      <c r="X39" s="3">
        <f t="shared" si="16"/>
        <v>129674.12</v>
      </c>
      <c r="Y39" s="3"/>
      <c r="Z39" s="22">
        <f t="shared" si="17"/>
        <v>-0.5711088024373816</v>
      </c>
    </row>
    <row r="40" spans="1:26" s="24" customFormat="1" hidden="1" outlineLevel="1" x14ac:dyDescent="0.3">
      <c r="A40" s="50"/>
      <c r="B40" s="12" t="str">
        <f>CONCATENATE("          ", "5300", " - ", "COG$ OFFSET")</f>
        <v xml:space="preserve">          5300 - COG$ OFFSET</v>
      </c>
      <c r="C40" s="12"/>
      <c r="D40" s="3">
        <v>93274.09</v>
      </c>
      <c r="E40" s="3"/>
      <c r="F40" s="22">
        <f t="shared" si="10"/>
        <v>0.97867706541959987</v>
      </c>
      <c r="G40" s="3"/>
      <c r="H40" s="3">
        <v>183956</v>
      </c>
      <c r="I40" s="3"/>
      <c r="J40" s="22">
        <f t="shared" si="11"/>
        <v>0.88454388476021706</v>
      </c>
      <c r="K40" s="3"/>
      <c r="L40" s="3">
        <f t="shared" si="12"/>
        <v>-90681.91</v>
      </c>
      <c r="M40" s="3"/>
      <c r="N40" s="22">
        <f t="shared" si="13"/>
        <v>-0.49295434777881669</v>
      </c>
      <c r="O40" s="12"/>
      <c r="P40" s="3">
        <v>93274.09</v>
      </c>
      <c r="Q40" s="3"/>
      <c r="R40" s="22">
        <f t="shared" si="14"/>
        <v>0.97867706541959987</v>
      </c>
      <c r="S40" s="3"/>
      <c r="T40" s="3">
        <v>183956</v>
      </c>
      <c r="U40" s="3"/>
      <c r="V40" s="22">
        <f t="shared" si="15"/>
        <v>0.88454388476021706</v>
      </c>
      <c r="W40" s="3"/>
      <c r="X40" s="3">
        <f t="shared" si="16"/>
        <v>-90681.91</v>
      </c>
      <c r="Y40" s="3"/>
      <c r="Z40" s="22">
        <f t="shared" si="17"/>
        <v>-0.49295434777881669</v>
      </c>
    </row>
    <row r="41" spans="1:26" s="24" customFormat="1" hidden="1" outlineLevel="1" x14ac:dyDescent="0.3">
      <c r="A41" s="50"/>
      <c r="B41" s="12" t="str">
        <f>CONCATENATE("          ", "5500", " - ", "FREIGHT-IN")</f>
        <v xml:space="preserve">          5500 - FREIGHT-IN</v>
      </c>
      <c r="C41" s="12"/>
      <c r="D41" s="3">
        <v>20.11</v>
      </c>
      <c r="E41" s="3"/>
      <c r="F41" s="22">
        <f t="shared" si="10"/>
        <v>2.1100388956448842E-4</v>
      </c>
      <c r="G41" s="3"/>
      <c r="H41" s="3"/>
      <c r="I41" s="3"/>
      <c r="J41" s="22">
        <f t="shared" si="11"/>
        <v>0</v>
      </c>
      <c r="K41" s="3"/>
      <c r="L41" s="3">
        <f t="shared" si="12"/>
        <v>20.11</v>
      </c>
      <c r="M41" s="3"/>
      <c r="N41" s="22">
        <f t="shared" si="13"/>
        <v>0</v>
      </c>
      <c r="O41" s="12"/>
      <c r="P41" s="3">
        <v>20.11</v>
      </c>
      <c r="Q41" s="3"/>
      <c r="R41" s="22">
        <f t="shared" si="14"/>
        <v>2.1100388956448842E-4</v>
      </c>
      <c r="S41" s="3"/>
      <c r="T41" s="3"/>
      <c r="U41" s="3"/>
      <c r="V41" s="22">
        <f t="shared" si="15"/>
        <v>0</v>
      </c>
      <c r="W41" s="3"/>
      <c r="X41" s="3">
        <f t="shared" si="16"/>
        <v>20.11</v>
      </c>
      <c r="Y41" s="3"/>
      <c r="Z41" s="22">
        <f t="shared" si="17"/>
        <v>0</v>
      </c>
    </row>
    <row r="42" spans="1:26" s="24" customFormat="1" hidden="1" outlineLevel="1" x14ac:dyDescent="0.3">
      <c r="A42" s="50"/>
      <c r="B42" s="12" t="str">
        <f>CONCATENATE("          ", "5583", " - ", "FREIGHT-IN-COMPUTER EQUIPMENT")</f>
        <v xml:space="preserve">          5583 - FREIGHT-IN-COMPUTER EQUIPMENT</v>
      </c>
      <c r="C42" s="12"/>
      <c r="D42" s="3">
        <v>0</v>
      </c>
      <c r="E42" s="3"/>
      <c r="F42" s="22">
        <f t="shared" si="10"/>
        <v>0</v>
      </c>
      <c r="G42" s="3"/>
      <c r="H42" s="3">
        <v>17.39</v>
      </c>
      <c r="I42" s="3"/>
      <c r="J42" s="22">
        <f t="shared" si="11"/>
        <v>8.3619007566919124E-5</v>
      </c>
      <c r="K42" s="3"/>
      <c r="L42" s="3">
        <f t="shared" si="12"/>
        <v>-17.39</v>
      </c>
      <c r="M42" s="3"/>
      <c r="N42" s="22">
        <f t="shared" si="13"/>
        <v>-1</v>
      </c>
      <c r="O42" s="12"/>
      <c r="P42" s="3">
        <v>0</v>
      </c>
      <c r="Q42" s="3"/>
      <c r="R42" s="22">
        <f t="shared" si="14"/>
        <v>0</v>
      </c>
      <c r="S42" s="3"/>
      <c r="T42" s="3">
        <v>17.39</v>
      </c>
      <c r="U42" s="3"/>
      <c r="V42" s="22">
        <f t="shared" si="15"/>
        <v>8.3619007566919124E-5</v>
      </c>
      <c r="W42" s="3"/>
      <c r="X42" s="3">
        <f t="shared" si="16"/>
        <v>-17.39</v>
      </c>
      <c r="Y42" s="3"/>
      <c r="Z42" s="22">
        <f t="shared" si="17"/>
        <v>-1</v>
      </c>
    </row>
    <row r="43" spans="1:26" x14ac:dyDescent="0.3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3">
      <c r="A44" s="10"/>
      <c r="B44" s="26" t="s">
        <v>107</v>
      </c>
      <c r="C44" s="26"/>
      <c r="D44" s="20">
        <f>D12-D32</f>
        <v>12934.829999999987</v>
      </c>
      <c r="E44" s="13"/>
      <c r="F44" s="21">
        <f>IF(D$12=0,0,D44/D$12)</f>
        <v>0.13571852018177172</v>
      </c>
      <c r="G44" s="13"/>
      <c r="H44" s="20">
        <f>H12-H32</f>
        <v>24011.069999999978</v>
      </c>
      <c r="I44" s="13"/>
      <c r="J44" s="21">
        <f>IF(H$12=0,0,H44/H$12)</f>
        <v>0.1154561152397828</v>
      </c>
      <c r="K44" s="16"/>
      <c r="L44" s="20">
        <f>+D44-H44</f>
        <v>-11076.239999999991</v>
      </c>
      <c r="M44" s="16"/>
      <c r="N44" s="21">
        <f>IF(H44=0,0,L44/H44)</f>
        <v>-0.46129722665420581</v>
      </c>
      <c r="O44" s="25"/>
      <c r="P44" s="20">
        <f>P12-P32</f>
        <v>12934.829999999987</v>
      </c>
      <c r="Q44" s="13"/>
      <c r="R44" s="21">
        <f>IF(P$12=0,0,P44/P$12)</f>
        <v>0.13571852018177172</v>
      </c>
      <c r="S44" s="13"/>
      <c r="T44" s="20">
        <f>T12-T32</f>
        <v>24011.069999999978</v>
      </c>
      <c r="U44" s="13"/>
      <c r="V44" s="21">
        <f>IF(T$12=0,0,T44/T$12)</f>
        <v>0.1154561152397828</v>
      </c>
      <c r="W44" s="16"/>
      <c r="X44" s="20">
        <f>+P44-T44</f>
        <v>-11076.239999999991</v>
      </c>
      <c r="Y44" s="16"/>
      <c r="Z44" s="21">
        <f>IF(T44=0,0,X44/T44)</f>
        <v>-0.46129722665420581</v>
      </c>
    </row>
    <row r="45" spans="1:26" x14ac:dyDescent="0.3">
      <c r="A45" s="9"/>
      <c r="B45" s="10"/>
      <c r="C45" s="9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294</v>
      </c>
      <c r="C46" s="10"/>
      <c r="D46" s="19">
        <f>SUM(OSRRefD22x_0)</f>
        <v>16884.670000000002</v>
      </c>
      <c r="E46" s="19"/>
      <c r="F46" s="35">
        <f t="shared" ref="F46:F56" si="18">IF(D$12=0,0,D46/D$12)</f>
        <v>0.17716216031888768</v>
      </c>
      <c r="G46" s="19"/>
      <c r="H46" s="19">
        <f>SUM(OSRRefH22x_0)</f>
        <v>11779.660000000002</v>
      </c>
      <c r="I46" s="19"/>
      <c r="J46" s="35">
        <f t="shared" ref="J46:J56" si="19">IF(H$12=0,0,H46/H$12)</f>
        <v>5.6641948169967489E-2</v>
      </c>
      <c r="K46" s="4"/>
      <c r="L46" s="19">
        <f t="shared" ref="L46:L56" si="20">+D46-H46</f>
        <v>5105.01</v>
      </c>
      <c r="M46" s="4"/>
      <c r="N46" s="35">
        <f t="shared" ref="N46:N56" si="21">IF(H46=0,0,L46/H46)</f>
        <v>0.43337498705395566</v>
      </c>
      <c r="O46" s="10"/>
      <c r="P46" s="19">
        <f>SUM(OSRRefP22x_0)</f>
        <v>16884.670000000002</v>
      </c>
      <c r="Q46" s="19"/>
      <c r="R46" s="35">
        <f t="shared" ref="R46:R56" si="22">IF(P$12=0,0,P46/P$12)</f>
        <v>0.17716216031888768</v>
      </c>
      <c r="S46" s="19"/>
      <c r="T46" s="19">
        <f>SUM(OSRRefT22x_0)</f>
        <v>11779.660000000002</v>
      </c>
      <c r="U46" s="19"/>
      <c r="V46" s="35">
        <f t="shared" ref="V46:V56" si="23">IF(T$12=0,0,T46/T$12)</f>
        <v>5.6641948169967489E-2</v>
      </c>
      <c r="W46" s="4"/>
      <c r="X46" s="19">
        <f t="shared" ref="X46:X56" si="24">+P46-T46</f>
        <v>5105.01</v>
      </c>
      <c r="Y46" s="4"/>
      <c r="Z46" s="35">
        <f t="shared" ref="Z46:Z56" si="25">IF(T46=0,0,X46/T46)</f>
        <v>0.43337498705395566</v>
      </c>
    </row>
    <row r="47" spans="1:26" s="29" customFormat="1" outlineLevel="1" collapsed="1" x14ac:dyDescent="0.3">
      <c r="A47" s="28"/>
      <c r="B47" s="14" t="str">
        <f>CONCATENATE("     ","*Benefits                                         ")</f>
        <v xml:space="preserve">     *Benefits                                         </v>
      </c>
      <c r="C47" s="14"/>
      <c r="D47" s="1">
        <f>SUM(OSRRefD22_0x_0)</f>
        <v>2159.6000000000004</v>
      </c>
      <c r="E47" s="1"/>
      <c r="F47" s="5">
        <f t="shared" si="18"/>
        <v>2.2659572347263512E-2</v>
      </c>
      <c r="G47" s="1"/>
      <c r="H47" s="1">
        <f>SUM(OSRRefH22_0x_0)</f>
        <v>2728.3700000000003</v>
      </c>
      <c r="I47" s="1"/>
      <c r="J47" s="5">
        <f t="shared" si="19"/>
        <v>1.311924046436775E-2</v>
      </c>
      <c r="K47" s="1"/>
      <c r="L47" s="1">
        <f t="shared" si="20"/>
        <v>-568.77</v>
      </c>
      <c r="M47" s="1"/>
      <c r="N47" s="5">
        <f t="shared" si="21"/>
        <v>-0.20846512753035693</v>
      </c>
      <c r="O47" s="14"/>
      <c r="P47" s="1">
        <f>SUM(OSRRefP22_0x_0)</f>
        <v>2159.6000000000004</v>
      </c>
      <c r="Q47" s="1"/>
      <c r="R47" s="5">
        <f t="shared" si="22"/>
        <v>2.2659572347263512E-2</v>
      </c>
      <c r="S47" s="1"/>
      <c r="T47" s="1">
        <f>SUM(OSRRefT22_0x_0)</f>
        <v>2728.3700000000003</v>
      </c>
      <c r="U47" s="1"/>
      <c r="V47" s="5">
        <f t="shared" si="23"/>
        <v>1.311924046436775E-2</v>
      </c>
      <c r="W47" s="1"/>
      <c r="X47" s="1">
        <f t="shared" si="24"/>
        <v>-568.77</v>
      </c>
      <c r="Y47" s="1"/>
      <c r="Z47" s="5">
        <f t="shared" si="25"/>
        <v>-0.20846512753035693</v>
      </c>
    </row>
    <row r="48" spans="1:26" s="24" customFormat="1" hidden="1" outlineLevel="2" x14ac:dyDescent="0.3">
      <c r="A48" s="27"/>
      <c r="B48" s="12" t="str">
        <f>CONCATENATE("          ", "6111", " - ", "F.I.C.A.")</f>
        <v xml:space="preserve">          6111 - F.I.C.A.</v>
      </c>
      <c r="C48" s="12"/>
      <c r="D48" s="8">
        <v>653.55999999999995</v>
      </c>
      <c r="E48" s="3"/>
      <c r="F48" s="7">
        <f t="shared" si="18"/>
        <v>6.8574690235587788E-3</v>
      </c>
      <c r="G48" s="3"/>
      <c r="H48" s="8">
        <v>419.8</v>
      </c>
      <c r="I48" s="3"/>
      <c r="J48" s="7">
        <f t="shared" si="19"/>
        <v>2.0185888083147012E-3</v>
      </c>
      <c r="K48" s="3"/>
      <c r="L48" s="8">
        <f t="shared" si="20"/>
        <v>233.75999999999993</v>
      </c>
      <c r="M48" s="3"/>
      <c r="N48" s="7">
        <f t="shared" si="21"/>
        <v>0.55683658885183407</v>
      </c>
      <c r="O48" s="12"/>
      <c r="P48" s="8">
        <v>653.55999999999995</v>
      </c>
      <c r="Q48" s="3"/>
      <c r="R48" s="7">
        <f t="shared" si="22"/>
        <v>6.8574690235587788E-3</v>
      </c>
      <c r="S48" s="3"/>
      <c r="T48" s="8">
        <v>419.8</v>
      </c>
      <c r="U48" s="3"/>
      <c r="V48" s="7">
        <f t="shared" si="23"/>
        <v>2.0185888083147012E-3</v>
      </c>
      <c r="W48" s="3"/>
      <c r="X48" s="8">
        <f t="shared" si="24"/>
        <v>233.75999999999993</v>
      </c>
      <c r="Y48" s="3"/>
      <c r="Z48" s="7">
        <f t="shared" si="25"/>
        <v>0.55683658885183407</v>
      </c>
    </row>
    <row r="49" spans="1:26" s="24" customFormat="1" hidden="1" outlineLevel="2" x14ac:dyDescent="0.3">
      <c r="A49" s="27"/>
      <c r="B49" s="12" t="str">
        <f>CONCATENATE("          ", "6112", " - ", "COMPENSATION INSURANCE")</f>
        <v xml:space="preserve">          6112 - COMPENSATION INSURANCE</v>
      </c>
      <c r="C49" s="12"/>
      <c r="D49" s="8">
        <v>177.36</v>
      </c>
      <c r="E49" s="3"/>
      <c r="F49" s="7">
        <f t="shared" si="18"/>
        <v>1.8609472826035638E-3</v>
      </c>
      <c r="G49" s="3"/>
      <c r="H49" s="8">
        <v>53.05</v>
      </c>
      <c r="I49" s="3"/>
      <c r="J49" s="7">
        <f t="shared" si="19"/>
        <v>2.5508846184157903E-4</v>
      </c>
      <c r="K49" s="3"/>
      <c r="L49" s="8">
        <f t="shared" si="20"/>
        <v>124.31000000000002</v>
      </c>
      <c r="M49" s="3"/>
      <c r="N49" s="7">
        <f t="shared" si="21"/>
        <v>2.3432610744580589</v>
      </c>
      <c r="O49" s="12"/>
      <c r="P49" s="8">
        <v>177.36</v>
      </c>
      <c r="Q49" s="3"/>
      <c r="R49" s="7">
        <f t="shared" si="22"/>
        <v>1.8609472826035638E-3</v>
      </c>
      <c r="S49" s="3"/>
      <c r="T49" s="8">
        <v>53.05</v>
      </c>
      <c r="U49" s="3"/>
      <c r="V49" s="7">
        <f t="shared" si="23"/>
        <v>2.5508846184157903E-4</v>
      </c>
      <c r="W49" s="3"/>
      <c r="X49" s="8">
        <f t="shared" si="24"/>
        <v>124.31000000000002</v>
      </c>
      <c r="Y49" s="3"/>
      <c r="Z49" s="7">
        <f t="shared" si="25"/>
        <v>2.3432610744580589</v>
      </c>
    </row>
    <row r="50" spans="1:26" s="24" customFormat="1" hidden="1" outlineLevel="2" x14ac:dyDescent="0.3">
      <c r="A50" s="27"/>
      <c r="B50" s="12" t="str">
        <f>CONCATENATE("          ", "6113", " - ", "GROUP INSURANCE")</f>
        <v xml:space="preserve">          6113 - GROUP INSURANCE</v>
      </c>
      <c r="C50" s="12"/>
      <c r="D50" s="8">
        <v>828.27</v>
      </c>
      <c r="E50" s="3"/>
      <c r="F50" s="7">
        <f t="shared" si="18"/>
        <v>8.6906112187756755E-3</v>
      </c>
      <c r="G50" s="3"/>
      <c r="H50" s="8">
        <v>1035.69</v>
      </c>
      <c r="I50" s="3"/>
      <c r="J50" s="7">
        <f t="shared" si="19"/>
        <v>4.9800672769972666E-3</v>
      </c>
      <c r="K50" s="3"/>
      <c r="L50" s="8">
        <f t="shared" si="20"/>
        <v>-207.42000000000007</v>
      </c>
      <c r="M50" s="3"/>
      <c r="N50" s="7">
        <f t="shared" si="21"/>
        <v>-0.20027228224661825</v>
      </c>
      <c r="O50" s="12"/>
      <c r="P50" s="8">
        <v>828.27</v>
      </c>
      <c r="Q50" s="3"/>
      <c r="R50" s="7">
        <f t="shared" si="22"/>
        <v>8.6906112187756755E-3</v>
      </c>
      <c r="S50" s="3"/>
      <c r="T50" s="8">
        <v>1035.69</v>
      </c>
      <c r="U50" s="3"/>
      <c r="V50" s="7">
        <f t="shared" si="23"/>
        <v>4.9800672769972666E-3</v>
      </c>
      <c r="W50" s="3"/>
      <c r="X50" s="8">
        <f t="shared" si="24"/>
        <v>-207.42000000000007</v>
      </c>
      <c r="Y50" s="3"/>
      <c r="Z50" s="7">
        <f t="shared" si="25"/>
        <v>-0.20027228224661825</v>
      </c>
    </row>
    <row r="51" spans="1:26" s="24" customFormat="1" hidden="1" outlineLevel="2" x14ac:dyDescent="0.3">
      <c r="A51" s="27"/>
      <c r="B51" s="12" t="str">
        <f>CONCATENATE("          ", "6114", " - ", "STATE UNEMPLOYMENT INSURANCE")</f>
        <v xml:space="preserve">          6114 - STATE UNEMPLOYMENT INSURANCE</v>
      </c>
      <c r="C51" s="12"/>
      <c r="D51" s="8">
        <v>31.16</v>
      </c>
      <c r="E51" s="3"/>
      <c r="F51" s="7">
        <f t="shared" si="18"/>
        <v>3.2694585772399099E-4</v>
      </c>
      <c r="G51" s="3"/>
      <c r="H51" s="8">
        <v>14.46</v>
      </c>
      <c r="I51" s="3"/>
      <c r="J51" s="7">
        <f t="shared" si="19"/>
        <v>6.9530238609410611E-5</v>
      </c>
      <c r="K51" s="3"/>
      <c r="L51" s="8">
        <f t="shared" si="20"/>
        <v>16.7</v>
      </c>
      <c r="M51" s="3"/>
      <c r="N51" s="7">
        <f t="shared" si="21"/>
        <v>1.1549100968188104</v>
      </c>
      <c r="O51" s="12"/>
      <c r="P51" s="8">
        <v>31.16</v>
      </c>
      <c r="Q51" s="3"/>
      <c r="R51" s="7">
        <f t="shared" si="22"/>
        <v>3.2694585772399099E-4</v>
      </c>
      <c r="S51" s="3"/>
      <c r="T51" s="8">
        <v>14.46</v>
      </c>
      <c r="U51" s="3"/>
      <c r="V51" s="7">
        <f t="shared" si="23"/>
        <v>6.9530238609410611E-5</v>
      </c>
      <c r="W51" s="3"/>
      <c r="X51" s="8">
        <f t="shared" si="24"/>
        <v>16.7</v>
      </c>
      <c r="Y51" s="3"/>
      <c r="Z51" s="7">
        <f t="shared" si="25"/>
        <v>1.1549100968188104</v>
      </c>
    </row>
    <row r="52" spans="1:26" s="24" customFormat="1" hidden="1" outlineLevel="2" x14ac:dyDescent="0.3">
      <c r="A52" s="27"/>
      <c r="B52" s="12" t="str">
        <f>CONCATENATE("          ", "6115", " - ", "P.E.R.S.")</f>
        <v xml:space="preserve">          6115 - P.E.R.S.</v>
      </c>
      <c r="C52" s="12"/>
      <c r="D52" s="8">
        <v>133.9</v>
      </c>
      <c r="E52" s="3"/>
      <c r="F52" s="7">
        <f t="shared" si="18"/>
        <v>1.4049438494622079E-3</v>
      </c>
      <c r="G52" s="3"/>
      <c r="H52" s="8">
        <v>264.63</v>
      </c>
      <c r="I52" s="3"/>
      <c r="J52" s="7">
        <f t="shared" si="19"/>
        <v>1.2724610679950435E-3</v>
      </c>
      <c r="K52" s="3"/>
      <c r="L52" s="8">
        <f t="shared" si="20"/>
        <v>-130.72999999999999</v>
      </c>
      <c r="M52" s="3"/>
      <c r="N52" s="7">
        <f t="shared" si="21"/>
        <v>-0.49401050523372253</v>
      </c>
      <c r="O52" s="12"/>
      <c r="P52" s="8">
        <v>133.9</v>
      </c>
      <c r="Q52" s="3"/>
      <c r="R52" s="7">
        <f t="shared" si="22"/>
        <v>1.4049438494622079E-3</v>
      </c>
      <c r="S52" s="3"/>
      <c r="T52" s="8">
        <v>264.63</v>
      </c>
      <c r="U52" s="3"/>
      <c r="V52" s="7">
        <f t="shared" si="23"/>
        <v>1.2724610679950435E-3</v>
      </c>
      <c r="W52" s="3"/>
      <c r="X52" s="8">
        <f t="shared" si="24"/>
        <v>-130.72999999999999</v>
      </c>
      <c r="Y52" s="3"/>
      <c r="Z52" s="7">
        <f t="shared" si="25"/>
        <v>-0.49401050523372253</v>
      </c>
    </row>
    <row r="53" spans="1:26" s="24" customFormat="1" hidden="1" outlineLevel="2" x14ac:dyDescent="0.3">
      <c r="A53" s="27"/>
      <c r="B53" s="12" t="str">
        <f>CONCATENATE("          ", "6117", " - ", "RETIREMENT STAFF HOURLY")</f>
        <v xml:space="preserve">          6117 - RETIREMENT STAFF HOURLY</v>
      </c>
      <c r="C53" s="12"/>
      <c r="D53" s="8">
        <v>162.69999999999999</v>
      </c>
      <c r="E53" s="3"/>
      <c r="F53" s="7">
        <f t="shared" si="18"/>
        <v>1.7071274406833547E-3</v>
      </c>
      <c r="G53" s="3"/>
      <c r="H53" s="8">
        <v>247.54</v>
      </c>
      <c r="I53" s="3"/>
      <c r="J53" s="7">
        <f t="shared" si="19"/>
        <v>1.190284596498859E-3</v>
      </c>
      <c r="K53" s="3"/>
      <c r="L53" s="8">
        <f t="shared" si="20"/>
        <v>-84.84</v>
      </c>
      <c r="M53" s="3"/>
      <c r="N53" s="7">
        <f t="shared" si="21"/>
        <v>-0.34273248767875902</v>
      </c>
      <c r="O53" s="12"/>
      <c r="P53" s="8">
        <v>162.69999999999999</v>
      </c>
      <c r="Q53" s="3"/>
      <c r="R53" s="7">
        <f t="shared" si="22"/>
        <v>1.7071274406833547E-3</v>
      </c>
      <c r="S53" s="3"/>
      <c r="T53" s="8">
        <v>247.54</v>
      </c>
      <c r="U53" s="3"/>
      <c r="V53" s="7">
        <f t="shared" si="23"/>
        <v>1.190284596498859E-3</v>
      </c>
      <c r="W53" s="3"/>
      <c r="X53" s="8">
        <f t="shared" si="24"/>
        <v>-84.84</v>
      </c>
      <c r="Y53" s="3"/>
      <c r="Z53" s="7">
        <f t="shared" si="25"/>
        <v>-0.34273248767875902</v>
      </c>
    </row>
    <row r="54" spans="1:26" s="24" customFormat="1" hidden="1" outlineLevel="2" x14ac:dyDescent="0.3">
      <c r="A54" s="27"/>
      <c r="B54" s="12" t="str">
        <f>CONCATENATE("          ", "6118", " - ", "VACATION")</f>
        <v xml:space="preserve">          6118 - VACATION</v>
      </c>
      <c r="C54" s="12"/>
      <c r="D54" s="8">
        <v>67.760000000000005</v>
      </c>
      <c r="E54" s="3"/>
      <c r="F54" s="7">
        <f t="shared" si="18"/>
        <v>7.1097083823419875E-4</v>
      </c>
      <c r="G54" s="3"/>
      <c r="H54" s="8">
        <v>257.8</v>
      </c>
      <c r="I54" s="3"/>
      <c r="J54" s="7">
        <f t="shared" si="19"/>
        <v>1.2396193301179846E-3</v>
      </c>
      <c r="K54" s="3"/>
      <c r="L54" s="8">
        <f t="shared" si="20"/>
        <v>-190.04000000000002</v>
      </c>
      <c r="M54" s="3"/>
      <c r="N54" s="7">
        <f t="shared" si="21"/>
        <v>-0.7371605896043445</v>
      </c>
      <c r="O54" s="12"/>
      <c r="P54" s="8">
        <v>67.760000000000005</v>
      </c>
      <c r="Q54" s="3"/>
      <c r="R54" s="7">
        <f t="shared" si="22"/>
        <v>7.1097083823419875E-4</v>
      </c>
      <c r="S54" s="3"/>
      <c r="T54" s="8">
        <v>257.8</v>
      </c>
      <c r="U54" s="3"/>
      <c r="V54" s="7">
        <f t="shared" si="23"/>
        <v>1.2396193301179846E-3</v>
      </c>
      <c r="W54" s="3"/>
      <c r="X54" s="8">
        <f t="shared" si="24"/>
        <v>-190.04000000000002</v>
      </c>
      <c r="Y54" s="3"/>
      <c r="Z54" s="7">
        <f t="shared" si="25"/>
        <v>-0.7371605896043445</v>
      </c>
    </row>
    <row r="55" spans="1:26" s="24" customFormat="1" hidden="1" outlineLevel="2" x14ac:dyDescent="0.3">
      <c r="A55" s="27"/>
      <c r="B55" s="12" t="str">
        <f>CONCATENATE("          ", "6119", " - ", "SICK LEAVE")</f>
        <v xml:space="preserve">          6119 - SICK LEAVE</v>
      </c>
      <c r="C55" s="12"/>
      <c r="D55" s="8">
        <v>81.180000000000007</v>
      </c>
      <c r="E55" s="3"/>
      <c r="F55" s="7">
        <f t="shared" si="18"/>
        <v>8.517799977546082E-4</v>
      </c>
      <c r="G55" s="3"/>
      <c r="H55" s="8">
        <v>256.57</v>
      </c>
      <c r="I55" s="3"/>
      <c r="J55" s="7">
        <f t="shared" si="19"/>
        <v>1.2337049322279723E-3</v>
      </c>
      <c r="K55" s="3"/>
      <c r="L55" s="8">
        <f t="shared" si="20"/>
        <v>-175.39</v>
      </c>
      <c r="M55" s="3"/>
      <c r="N55" s="7">
        <f t="shared" si="21"/>
        <v>-0.68359512024009039</v>
      </c>
      <c r="O55" s="12"/>
      <c r="P55" s="8">
        <v>81.180000000000007</v>
      </c>
      <c r="Q55" s="3"/>
      <c r="R55" s="7">
        <f t="shared" si="22"/>
        <v>8.517799977546082E-4</v>
      </c>
      <c r="S55" s="3"/>
      <c r="T55" s="8">
        <v>256.57</v>
      </c>
      <c r="U55" s="3"/>
      <c r="V55" s="7">
        <f t="shared" si="23"/>
        <v>1.2337049322279723E-3</v>
      </c>
      <c r="W55" s="3"/>
      <c r="X55" s="8">
        <f t="shared" si="24"/>
        <v>-175.39</v>
      </c>
      <c r="Y55" s="3"/>
      <c r="Z55" s="7">
        <f t="shared" si="25"/>
        <v>-0.68359512024009039</v>
      </c>
    </row>
    <row r="56" spans="1:26" s="24" customFormat="1" hidden="1" outlineLevel="2" x14ac:dyDescent="0.3">
      <c r="A56" s="27"/>
      <c r="B56" s="12" t="str">
        <f>CONCATENATE("          ", "6156", " - ", "EMPLOYEE MEALS")</f>
        <v xml:space="preserve">          6156 - EMPLOYEE MEALS</v>
      </c>
      <c r="C56" s="12"/>
      <c r="D56" s="8">
        <v>23.71</v>
      </c>
      <c r="E56" s="3"/>
      <c r="F56" s="7">
        <f t="shared" si="18"/>
        <v>2.487768384671318E-4</v>
      </c>
      <c r="G56" s="3"/>
      <c r="H56" s="8">
        <v>178.83</v>
      </c>
      <c r="I56" s="3"/>
      <c r="J56" s="7">
        <f t="shared" si="19"/>
        <v>8.5989575176493086E-4</v>
      </c>
      <c r="K56" s="3"/>
      <c r="L56" s="8">
        <f t="shared" si="20"/>
        <v>-155.12</v>
      </c>
      <c r="M56" s="3"/>
      <c r="N56" s="7">
        <f t="shared" si="21"/>
        <v>-0.86741598165855838</v>
      </c>
      <c r="O56" s="12"/>
      <c r="P56" s="8">
        <v>23.71</v>
      </c>
      <c r="Q56" s="3"/>
      <c r="R56" s="7">
        <f t="shared" si="22"/>
        <v>2.487768384671318E-4</v>
      </c>
      <c r="S56" s="3"/>
      <c r="T56" s="8">
        <v>178.83</v>
      </c>
      <c r="U56" s="3"/>
      <c r="V56" s="7">
        <f t="shared" si="23"/>
        <v>8.5989575176493086E-4</v>
      </c>
      <c r="W56" s="3"/>
      <c r="X56" s="8">
        <f t="shared" si="24"/>
        <v>-155.12</v>
      </c>
      <c r="Y56" s="3"/>
      <c r="Z56" s="7">
        <f t="shared" si="25"/>
        <v>-0.86741598165855838</v>
      </c>
    </row>
    <row r="57" spans="1:26" s="29" customFormat="1" outlineLevel="1" collapsed="1" x14ac:dyDescent="0.3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10510.92</v>
      </c>
      <c r="E57" s="1"/>
      <c r="F57" s="5">
        <f t="shared" ref="F57:F60" si="26">IF(D$12=0,0,D57/D$12)</f>
        <v>0.11028567891104787</v>
      </c>
      <c r="G57" s="1"/>
      <c r="H57" s="1">
        <f>SUM(OSRRefH22_1x_0)</f>
        <v>6417.82</v>
      </c>
      <c r="I57" s="1"/>
      <c r="J57" s="5">
        <f t="shared" ref="J57:J60" si="27">IF(H$12=0,0,H57/H$12)</f>
        <v>3.0859789484941051E-2</v>
      </c>
      <c r="K57" s="1"/>
      <c r="L57" s="1">
        <f t="shared" ref="L57:L60" si="28">+D57-H57</f>
        <v>4093.1000000000004</v>
      </c>
      <c r="M57" s="1"/>
      <c r="N57" s="5">
        <f t="shared" ref="N57:N60" si="29">IF(H57=0,0,L57/H57)</f>
        <v>0.63777108114593439</v>
      </c>
      <c r="O57" s="14"/>
      <c r="P57" s="1">
        <f>SUM(OSRRefP22_1x_0)</f>
        <v>10510.92</v>
      </c>
      <c r="Q57" s="1"/>
      <c r="R57" s="5">
        <f t="shared" ref="R57:R60" si="30">IF(P$12=0,0,P57/P$12)</f>
        <v>0.11028567891104787</v>
      </c>
      <c r="S57" s="1"/>
      <c r="T57" s="1">
        <f>SUM(OSRRefT22_1x_0)</f>
        <v>6417.82</v>
      </c>
      <c r="U57" s="1"/>
      <c r="V57" s="5">
        <f t="shared" ref="V57:V60" si="31">IF(T$12=0,0,T57/T$12)</f>
        <v>3.0859789484941051E-2</v>
      </c>
      <c r="W57" s="1"/>
      <c r="X57" s="1">
        <f t="shared" ref="X57:X60" si="32">+P57-T57</f>
        <v>4093.1000000000004</v>
      </c>
      <c r="Y57" s="1"/>
      <c r="Z57" s="5">
        <f t="shared" ref="Z57:Z60" si="33">IF(T57=0,0,X57/T57)</f>
        <v>0.63777108114593439</v>
      </c>
    </row>
    <row r="58" spans="1:26" s="24" customFormat="1" hidden="1" outlineLevel="2" x14ac:dyDescent="0.3">
      <c r="A58" s="27"/>
      <c r="B58" s="12" t="str">
        <f>CONCATENATE("          ", "6002", " - ", "STAFF SALARIES")</f>
        <v xml:space="preserve">          6002 - STAFF SALARIES</v>
      </c>
      <c r="C58" s="12"/>
      <c r="D58" s="8">
        <v>5113.92</v>
      </c>
      <c r="E58" s="3"/>
      <c r="F58" s="7">
        <f t="shared" si="26"/>
        <v>5.365773301450167E-2</v>
      </c>
      <c r="G58" s="3"/>
      <c r="H58" s="8">
        <v>2625.07</v>
      </c>
      <c r="I58" s="3"/>
      <c r="J58" s="7">
        <f t="shared" si="27"/>
        <v>1.2622527210678114E-2</v>
      </c>
      <c r="K58" s="3"/>
      <c r="L58" s="8">
        <f t="shared" si="28"/>
        <v>2488.85</v>
      </c>
      <c r="M58" s="3"/>
      <c r="N58" s="7">
        <f t="shared" si="29"/>
        <v>0.94810805045198787</v>
      </c>
      <c r="O58" s="12"/>
      <c r="P58" s="8">
        <v>5113.92</v>
      </c>
      <c r="Q58" s="3"/>
      <c r="R58" s="7">
        <f t="shared" si="30"/>
        <v>5.365773301450167E-2</v>
      </c>
      <c r="S58" s="3"/>
      <c r="T58" s="8">
        <v>2625.07</v>
      </c>
      <c r="U58" s="3"/>
      <c r="V58" s="7">
        <f t="shared" si="31"/>
        <v>1.2622527210678114E-2</v>
      </c>
      <c r="W58" s="3"/>
      <c r="X58" s="8">
        <f t="shared" si="32"/>
        <v>2488.85</v>
      </c>
      <c r="Y58" s="3"/>
      <c r="Z58" s="7">
        <f t="shared" si="33"/>
        <v>0.94810805045198787</v>
      </c>
    </row>
    <row r="59" spans="1:26" s="24" customFormat="1" hidden="1" outlineLevel="2" x14ac:dyDescent="0.3">
      <c r="A59" s="27"/>
      <c r="B59" s="12" t="str">
        <f>CONCATENATE("          ", "6004", " - ", "STAFF HOURLY")</f>
        <v xml:space="preserve">          6004 - STAFF HOURLY</v>
      </c>
      <c r="C59" s="12"/>
      <c r="D59" s="8">
        <v>610.5</v>
      </c>
      <c r="E59" s="3"/>
      <c r="F59" s="7">
        <f t="shared" si="26"/>
        <v>6.4056625847399391E-3</v>
      </c>
      <c r="G59" s="3"/>
      <c r="H59" s="8">
        <v>3023.75</v>
      </c>
      <c r="I59" s="3"/>
      <c r="J59" s="7">
        <f t="shared" si="27"/>
        <v>1.4539561479613093E-2</v>
      </c>
      <c r="K59" s="3"/>
      <c r="L59" s="8">
        <f t="shared" si="28"/>
        <v>-2413.25</v>
      </c>
      <c r="M59" s="3"/>
      <c r="N59" s="7">
        <f t="shared" si="29"/>
        <v>-0.7980983877635387</v>
      </c>
      <c r="O59" s="12"/>
      <c r="P59" s="8">
        <v>610.5</v>
      </c>
      <c r="Q59" s="3"/>
      <c r="R59" s="7">
        <f t="shared" si="30"/>
        <v>6.4056625847399391E-3</v>
      </c>
      <c r="S59" s="3"/>
      <c r="T59" s="8">
        <v>3023.75</v>
      </c>
      <c r="U59" s="3"/>
      <c r="V59" s="7">
        <f t="shared" si="31"/>
        <v>1.4539561479613093E-2</v>
      </c>
      <c r="W59" s="3"/>
      <c r="X59" s="8">
        <f t="shared" si="32"/>
        <v>-2413.25</v>
      </c>
      <c r="Y59" s="3"/>
      <c r="Z59" s="7">
        <f t="shared" si="33"/>
        <v>-0.7980983877635387</v>
      </c>
    </row>
    <row r="60" spans="1:26" s="24" customFormat="1" hidden="1" outlineLevel="2" x14ac:dyDescent="0.3">
      <c r="A60" s="27"/>
      <c r="B60" s="12" t="str">
        <f>CONCATENATE("          ", "6007", " - ", "STUDENT HOURLY")</f>
        <v xml:space="preserve">          6007 - STUDENT HOURLY</v>
      </c>
      <c r="C60" s="12"/>
      <c r="D60" s="8">
        <v>4786.5</v>
      </c>
      <c r="E60" s="3"/>
      <c r="F60" s="7">
        <f t="shared" si="26"/>
        <v>5.0222283311806254E-2</v>
      </c>
      <c r="G60" s="3"/>
      <c r="H60" s="8">
        <v>769</v>
      </c>
      <c r="I60" s="3"/>
      <c r="J60" s="7">
        <f t="shared" si="27"/>
        <v>3.697700794649845E-3</v>
      </c>
      <c r="K60" s="3"/>
      <c r="L60" s="8">
        <f t="shared" si="28"/>
        <v>4017.5</v>
      </c>
      <c r="M60" s="3"/>
      <c r="N60" s="7">
        <f t="shared" si="29"/>
        <v>5.2243172951885564</v>
      </c>
      <c r="O60" s="12"/>
      <c r="P60" s="8">
        <v>4786.5</v>
      </c>
      <c r="Q60" s="3"/>
      <c r="R60" s="7">
        <f t="shared" si="30"/>
        <v>5.0222283311806254E-2</v>
      </c>
      <c r="S60" s="3"/>
      <c r="T60" s="8">
        <v>769</v>
      </c>
      <c r="U60" s="3"/>
      <c r="V60" s="7">
        <f t="shared" si="31"/>
        <v>3.697700794649845E-3</v>
      </c>
      <c r="W60" s="3"/>
      <c r="X60" s="8">
        <f t="shared" si="32"/>
        <v>4017.5</v>
      </c>
      <c r="Y60" s="3"/>
      <c r="Z60" s="7">
        <f t="shared" si="33"/>
        <v>5.2243172951885564</v>
      </c>
    </row>
    <row r="61" spans="1:26" s="29" customFormat="1" outlineLevel="1" collapsed="1" x14ac:dyDescent="0.3">
      <c r="A61" s="28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45.42</v>
      </c>
      <c r="E61" s="1"/>
      <c r="F61" s="5">
        <f t="shared" ref="F61:F69" si="34">IF(D$12=0,0,D61/D$12)</f>
        <v>4.7656870532168395E-4</v>
      </c>
      <c r="G61" s="1"/>
      <c r="H61" s="1">
        <f>SUM(OSRRefH22_2x_0)</f>
        <v>149.65</v>
      </c>
      <c r="I61" s="1"/>
      <c r="J61" s="5">
        <f t="shared" ref="J61:J69" si="35">IF(H$12=0,0,H61/H$12)</f>
        <v>7.1958507661813958E-4</v>
      </c>
      <c r="K61" s="1"/>
      <c r="L61" s="1">
        <f t="shared" ref="L61:L69" si="36">+D61-H61</f>
        <v>-104.23</v>
      </c>
      <c r="M61" s="1"/>
      <c r="N61" s="5">
        <f t="shared" ref="N61:N69" si="37">IF(H61=0,0,L61/H61)</f>
        <v>-0.69649181423321083</v>
      </c>
      <c r="O61" s="14"/>
      <c r="P61" s="1">
        <f>SUM(OSRRefP22_2x_0)</f>
        <v>45.42</v>
      </c>
      <c r="Q61" s="1"/>
      <c r="R61" s="5">
        <f t="shared" ref="R61:R69" si="38">IF(P$12=0,0,P61/P$12)</f>
        <v>4.7656870532168395E-4</v>
      </c>
      <c r="S61" s="1"/>
      <c r="T61" s="1">
        <f>SUM(OSRRefT22_2x_0)</f>
        <v>149.65</v>
      </c>
      <c r="U61" s="1"/>
      <c r="V61" s="5">
        <f t="shared" ref="V61:V69" si="39">IF(T$12=0,0,T61/T$12)</f>
        <v>7.1958507661813958E-4</v>
      </c>
      <c r="W61" s="1"/>
      <c r="X61" s="1">
        <f t="shared" ref="X61:X69" si="40">+P61-T61</f>
        <v>-104.23</v>
      </c>
      <c r="Y61" s="1"/>
      <c r="Z61" s="5">
        <f t="shared" ref="Z61:Z69" si="41">IF(T61=0,0,X61/T61)</f>
        <v>-0.69649181423321083</v>
      </c>
    </row>
    <row r="62" spans="1:26" s="24" customFormat="1" hidden="1" outlineLevel="2" x14ac:dyDescent="0.3">
      <c r="A62" s="27"/>
      <c r="B62" s="12" t="str">
        <f>CONCATENATE("          ", "6362", " - ", "ADVERTISING EXPENSE")</f>
        <v xml:space="preserve">          6362 - ADVERTISING EXPENSE</v>
      </c>
      <c r="C62" s="12"/>
      <c r="D62" s="8">
        <v>45.42</v>
      </c>
      <c r="E62" s="3"/>
      <c r="F62" s="7">
        <f t="shared" si="34"/>
        <v>4.7656870532168395E-4</v>
      </c>
      <c r="G62" s="3"/>
      <c r="H62" s="8">
        <v>149.65</v>
      </c>
      <c r="I62" s="3"/>
      <c r="J62" s="7">
        <f t="shared" si="35"/>
        <v>7.1958507661813958E-4</v>
      </c>
      <c r="K62" s="3"/>
      <c r="L62" s="8">
        <f t="shared" si="36"/>
        <v>-104.23</v>
      </c>
      <c r="M62" s="3"/>
      <c r="N62" s="7">
        <f t="shared" si="37"/>
        <v>-0.69649181423321083</v>
      </c>
      <c r="O62" s="12"/>
      <c r="P62" s="8">
        <v>45.42</v>
      </c>
      <c r="Q62" s="3"/>
      <c r="R62" s="7">
        <f t="shared" si="38"/>
        <v>4.7656870532168395E-4</v>
      </c>
      <c r="S62" s="3"/>
      <c r="T62" s="8">
        <v>149.65</v>
      </c>
      <c r="U62" s="3"/>
      <c r="V62" s="7">
        <f t="shared" si="39"/>
        <v>7.1958507661813958E-4</v>
      </c>
      <c r="W62" s="3"/>
      <c r="X62" s="8">
        <f t="shared" si="40"/>
        <v>-104.23</v>
      </c>
      <c r="Y62" s="3"/>
      <c r="Z62" s="7">
        <f t="shared" si="41"/>
        <v>-0.69649181423321083</v>
      </c>
    </row>
    <row r="63" spans="1:26" s="29" customFormat="1" outlineLevel="1" collapsed="1" x14ac:dyDescent="0.3">
      <c r="A63" s="28"/>
      <c r="B63" s="14" t="str">
        <f>CONCATENATE("     ","Depreciation                                      ")</f>
        <v xml:space="preserve">     Depreciation                                      </v>
      </c>
      <c r="C63" s="14"/>
      <c r="D63" s="1">
        <f>SUM(OSRRefD22_3x_0)</f>
        <v>280.44</v>
      </c>
      <c r="E63" s="1"/>
      <c r="F63" s="5">
        <f t="shared" si="34"/>
        <v>2.9425127195159191E-3</v>
      </c>
      <c r="G63" s="1"/>
      <c r="H63" s="1">
        <f>SUM(OSRRefH22_3x_0)</f>
        <v>280.44</v>
      </c>
      <c r="I63" s="1"/>
      <c r="J63" s="5">
        <f t="shared" si="35"/>
        <v>1.3484827189227601E-3</v>
      </c>
      <c r="K63" s="1"/>
      <c r="L63" s="1">
        <f t="shared" si="36"/>
        <v>0</v>
      </c>
      <c r="M63" s="1"/>
      <c r="N63" s="5">
        <f t="shared" si="37"/>
        <v>0</v>
      </c>
      <c r="O63" s="14"/>
      <c r="P63" s="1">
        <f>SUM(OSRRefP22_3x_0)</f>
        <v>280.44</v>
      </c>
      <c r="Q63" s="1"/>
      <c r="R63" s="5">
        <f t="shared" si="38"/>
        <v>2.9425127195159191E-3</v>
      </c>
      <c r="S63" s="1"/>
      <c r="T63" s="1">
        <f>SUM(OSRRefT22_3x_0)</f>
        <v>280.44</v>
      </c>
      <c r="U63" s="1"/>
      <c r="V63" s="5">
        <f t="shared" si="39"/>
        <v>1.3484827189227601E-3</v>
      </c>
      <c r="W63" s="1"/>
      <c r="X63" s="1">
        <f t="shared" si="40"/>
        <v>0</v>
      </c>
      <c r="Y63" s="1"/>
      <c r="Z63" s="5">
        <f t="shared" si="41"/>
        <v>0</v>
      </c>
    </row>
    <row r="64" spans="1:26" s="24" customFormat="1" hidden="1" outlineLevel="2" x14ac:dyDescent="0.3">
      <c r="A64" s="27"/>
      <c r="B64" s="12" t="str">
        <f>CONCATENATE("          ", "6322", " - ", "EQUIPMENT DEPRECIATION EXPENSE")</f>
        <v xml:space="preserve">          6322 - EQUIPMENT DEPRECIATION EXPENSE</v>
      </c>
      <c r="C64" s="12"/>
      <c r="D64" s="8">
        <v>280.44</v>
      </c>
      <c r="E64" s="3"/>
      <c r="F64" s="7">
        <f t="shared" si="34"/>
        <v>2.9425127195159191E-3</v>
      </c>
      <c r="G64" s="3"/>
      <c r="H64" s="8">
        <v>280.44</v>
      </c>
      <c r="I64" s="3"/>
      <c r="J64" s="7">
        <f t="shared" si="35"/>
        <v>1.3484827189227601E-3</v>
      </c>
      <c r="K64" s="3"/>
      <c r="L64" s="8">
        <f t="shared" si="36"/>
        <v>0</v>
      </c>
      <c r="M64" s="3"/>
      <c r="N64" s="7">
        <f t="shared" si="37"/>
        <v>0</v>
      </c>
      <c r="O64" s="12"/>
      <c r="P64" s="8">
        <v>280.44</v>
      </c>
      <c r="Q64" s="3"/>
      <c r="R64" s="7">
        <f t="shared" si="38"/>
        <v>2.9425127195159191E-3</v>
      </c>
      <c r="S64" s="3"/>
      <c r="T64" s="8">
        <v>280.44</v>
      </c>
      <c r="U64" s="3"/>
      <c r="V64" s="7">
        <f t="shared" si="39"/>
        <v>1.3484827189227601E-3</v>
      </c>
      <c r="W64" s="3"/>
      <c r="X64" s="8">
        <f t="shared" si="40"/>
        <v>0</v>
      </c>
      <c r="Y64" s="3"/>
      <c r="Z64" s="7">
        <f t="shared" si="41"/>
        <v>0</v>
      </c>
    </row>
    <row r="65" spans="1:26" s="29" customFormat="1" outlineLevel="1" collapsed="1" x14ac:dyDescent="0.3">
      <c r="A65" s="28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SUM(OSRRefD22_4x_0)</f>
        <v>0</v>
      </c>
      <c r="E65" s="1"/>
      <c r="F65" s="5">
        <f t="shared" si="34"/>
        <v>0</v>
      </c>
      <c r="G65" s="1"/>
      <c r="H65" s="1">
        <f>SUM(OSRRefH22_4x_0)</f>
        <v>0</v>
      </c>
      <c r="I65" s="1"/>
      <c r="J65" s="5">
        <f t="shared" si="35"/>
        <v>0</v>
      </c>
      <c r="K65" s="1"/>
      <c r="L65" s="1">
        <f t="shared" si="36"/>
        <v>0</v>
      </c>
      <c r="M65" s="1"/>
      <c r="N65" s="5">
        <f t="shared" si="37"/>
        <v>0</v>
      </c>
      <c r="O65" s="14"/>
      <c r="P65" s="1">
        <f>SUM(OSRRefP22_4x_0)</f>
        <v>0</v>
      </c>
      <c r="Q65" s="1"/>
      <c r="R65" s="5">
        <f t="shared" si="38"/>
        <v>0</v>
      </c>
      <c r="S65" s="1"/>
      <c r="T65" s="1">
        <f>SUM(OSRRefT22_4x_0)</f>
        <v>0</v>
      </c>
      <c r="U65" s="1"/>
      <c r="V65" s="5">
        <f t="shared" si="39"/>
        <v>0</v>
      </c>
      <c r="W65" s="1"/>
      <c r="X65" s="1">
        <f t="shared" si="40"/>
        <v>0</v>
      </c>
      <c r="Y65" s="1"/>
      <c r="Z65" s="5">
        <f t="shared" si="41"/>
        <v>0</v>
      </c>
    </row>
    <row r="66" spans="1:26" s="24" customFormat="1" hidden="1" outlineLevel="2" x14ac:dyDescent="0.3">
      <c r="A66" s="27"/>
      <c r="B66" s="12" t="str">
        <f>CONCATENATE("          ", "6382", " - ", "DISCOUNTS/MARK DOWNS")</f>
        <v xml:space="preserve">          6382 - DISCOUNTS/MARK DOWNS</v>
      </c>
      <c r="C66" s="12"/>
      <c r="D66" s="8"/>
      <c r="E66" s="3"/>
      <c r="F66" s="7">
        <f t="shared" si="34"/>
        <v>0</v>
      </c>
      <c r="G66" s="3"/>
      <c r="H66" s="8">
        <v>0</v>
      </c>
      <c r="I66" s="3"/>
      <c r="J66" s="7">
        <f t="shared" si="35"/>
        <v>0</v>
      </c>
      <c r="K66" s="3"/>
      <c r="L66" s="8">
        <f t="shared" si="36"/>
        <v>0</v>
      </c>
      <c r="M66" s="3"/>
      <c r="N66" s="7">
        <f t="shared" si="37"/>
        <v>0</v>
      </c>
      <c r="O66" s="12"/>
      <c r="P66" s="8"/>
      <c r="Q66" s="3"/>
      <c r="R66" s="7">
        <f t="shared" si="38"/>
        <v>0</v>
      </c>
      <c r="S66" s="3"/>
      <c r="T66" s="8">
        <v>0</v>
      </c>
      <c r="U66" s="3"/>
      <c r="V66" s="7">
        <f t="shared" si="39"/>
        <v>0</v>
      </c>
      <c r="W66" s="3"/>
      <c r="X66" s="8">
        <f t="shared" si="40"/>
        <v>0</v>
      </c>
      <c r="Y66" s="3"/>
      <c r="Z66" s="7">
        <f t="shared" si="41"/>
        <v>0</v>
      </c>
    </row>
    <row r="67" spans="1:26" s="29" customFormat="1" outlineLevel="1" collapsed="1" x14ac:dyDescent="0.3">
      <c r="A67" s="28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SUM(OSRRefD22_5x_0)</f>
        <v>93.19</v>
      </c>
      <c r="E67" s="1"/>
      <c r="F67" s="5">
        <f t="shared" si="34"/>
        <v>9.7779475228814902E-4</v>
      </c>
      <c r="G67" s="1"/>
      <c r="H67" s="1">
        <f>SUM(OSRRefH22_5x_0)</f>
        <v>10.61</v>
      </c>
      <c r="I67" s="1"/>
      <c r="J67" s="5">
        <f t="shared" si="35"/>
        <v>5.1017692368315807E-5</v>
      </c>
      <c r="K67" s="1"/>
      <c r="L67" s="1">
        <f t="shared" si="36"/>
        <v>82.58</v>
      </c>
      <c r="M67" s="1"/>
      <c r="N67" s="5">
        <f t="shared" si="37"/>
        <v>7.7832233741753063</v>
      </c>
      <c r="O67" s="14"/>
      <c r="P67" s="1">
        <f>SUM(OSRRefP22_5x_0)</f>
        <v>93.19</v>
      </c>
      <c r="Q67" s="1"/>
      <c r="R67" s="5">
        <f t="shared" si="38"/>
        <v>9.7779475228814902E-4</v>
      </c>
      <c r="S67" s="1"/>
      <c r="T67" s="1">
        <f>SUM(OSRRefT22_5x_0)</f>
        <v>10.61</v>
      </c>
      <c r="U67" s="1"/>
      <c r="V67" s="5">
        <f t="shared" si="39"/>
        <v>5.1017692368315807E-5</v>
      </c>
      <c r="W67" s="1"/>
      <c r="X67" s="1">
        <f t="shared" si="40"/>
        <v>82.58</v>
      </c>
      <c r="Y67" s="1"/>
      <c r="Z67" s="5">
        <f t="shared" si="41"/>
        <v>7.7832233741753063</v>
      </c>
    </row>
    <row r="68" spans="1:26" s="24" customFormat="1" hidden="1" outlineLevel="2" x14ac:dyDescent="0.3">
      <c r="A68" s="27"/>
      <c r="B68" s="12" t="str">
        <f>CONCATENATE("          ", "6305", " - ", "FREIGHT OUT")</f>
        <v xml:space="preserve">          6305 - FREIGHT OUT</v>
      </c>
      <c r="C68" s="12"/>
      <c r="D68" s="8">
        <v>93.19</v>
      </c>
      <c r="E68" s="3"/>
      <c r="F68" s="7">
        <f t="shared" si="34"/>
        <v>9.7779475228814902E-4</v>
      </c>
      <c r="G68" s="3"/>
      <c r="H68" s="8">
        <v>5.61</v>
      </c>
      <c r="I68" s="3"/>
      <c r="J68" s="7">
        <f t="shared" si="35"/>
        <v>2.6975424522738145E-5</v>
      </c>
      <c r="K68" s="3"/>
      <c r="L68" s="8">
        <f t="shared" si="36"/>
        <v>87.58</v>
      </c>
      <c r="M68" s="3"/>
      <c r="N68" s="7">
        <f t="shared" si="37"/>
        <v>15.611408199643492</v>
      </c>
      <c r="O68" s="12"/>
      <c r="P68" s="8">
        <v>93.19</v>
      </c>
      <c r="Q68" s="3"/>
      <c r="R68" s="7">
        <f t="shared" si="38"/>
        <v>9.7779475228814902E-4</v>
      </c>
      <c r="S68" s="3"/>
      <c r="T68" s="8">
        <v>5.61</v>
      </c>
      <c r="U68" s="3"/>
      <c r="V68" s="7">
        <f t="shared" si="39"/>
        <v>2.6975424522738145E-5</v>
      </c>
      <c r="W68" s="3"/>
      <c r="X68" s="8">
        <f t="shared" si="40"/>
        <v>87.58</v>
      </c>
      <c r="Y68" s="3"/>
      <c r="Z68" s="7">
        <f t="shared" si="41"/>
        <v>15.611408199643492</v>
      </c>
    </row>
    <row r="69" spans="1:26" s="24" customFormat="1" hidden="1" outlineLevel="2" x14ac:dyDescent="0.3">
      <c r="A69" s="27"/>
      <c r="B69" s="12" t="str">
        <f>CONCATENATE("          ", "6307", " - ", "POSTAGE")</f>
        <v xml:space="preserve">          6307 - POSTAGE</v>
      </c>
      <c r="C69" s="12"/>
      <c r="D69" s="8"/>
      <c r="E69" s="3"/>
      <c r="F69" s="7">
        <f t="shared" si="34"/>
        <v>0</v>
      </c>
      <c r="G69" s="3"/>
      <c r="H69" s="8">
        <v>5</v>
      </c>
      <c r="I69" s="3"/>
      <c r="J69" s="7">
        <f t="shared" si="35"/>
        <v>2.4042267845577668E-5</v>
      </c>
      <c r="K69" s="3"/>
      <c r="L69" s="8">
        <f t="shared" si="36"/>
        <v>-5</v>
      </c>
      <c r="M69" s="3"/>
      <c r="N69" s="7">
        <f t="shared" si="37"/>
        <v>-1</v>
      </c>
      <c r="O69" s="12"/>
      <c r="P69" s="8"/>
      <c r="Q69" s="3"/>
      <c r="R69" s="7">
        <f t="shared" si="38"/>
        <v>0</v>
      </c>
      <c r="S69" s="3"/>
      <c r="T69" s="8">
        <v>5</v>
      </c>
      <c r="U69" s="3"/>
      <c r="V69" s="7">
        <f t="shared" si="39"/>
        <v>2.4042267845577668E-5</v>
      </c>
      <c r="W69" s="3"/>
      <c r="X69" s="8">
        <f t="shared" si="40"/>
        <v>-5</v>
      </c>
      <c r="Y69" s="3"/>
      <c r="Z69" s="7">
        <f t="shared" si="41"/>
        <v>-1</v>
      </c>
    </row>
    <row r="70" spans="1:26" s="29" customFormat="1" outlineLevel="1" collapsed="1" x14ac:dyDescent="0.3">
      <c r="A70" s="28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SUM(OSRRefD22_6x_0)</f>
        <v>0</v>
      </c>
      <c r="E70" s="1"/>
      <c r="F70" s="5">
        <f t="shared" ref="F70:F77" si="42">IF(D$12=0,0,D70/D$12)</f>
        <v>0</v>
      </c>
      <c r="G70" s="1"/>
      <c r="H70" s="1">
        <f>SUM(OSRRefH22_6x_0)</f>
        <v>-30.15</v>
      </c>
      <c r="I70" s="1"/>
      <c r="J70" s="5">
        <f t="shared" ref="J70:J77" si="43">IF(H$12=0,0,H70/H$12)</f>
        <v>-1.4497487510883332E-4</v>
      </c>
      <c r="K70" s="1"/>
      <c r="L70" s="1">
        <f t="shared" ref="L70:L77" si="44">+D70-H70</f>
        <v>30.15</v>
      </c>
      <c r="M70" s="1"/>
      <c r="N70" s="5">
        <f t="shared" ref="N70:N77" si="45">IF(H70=0,0,L70/H70)</f>
        <v>-1</v>
      </c>
      <c r="O70" s="14"/>
      <c r="P70" s="1">
        <f>SUM(OSRRefP22_6x_0)</f>
        <v>0</v>
      </c>
      <c r="Q70" s="1"/>
      <c r="R70" s="5">
        <f t="shared" ref="R70:R77" si="46">IF(P$12=0,0,P70/P$12)</f>
        <v>0</v>
      </c>
      <c r="S70" s="1"/>
      <c r="T70" s="1">
        <f>SUM(OSRRefT22_6x_0)</f>
        <v>-30.15</v>
      </c>
      <c r="U70" s="1"/>
      <c r="V70" s="5">
        <f t="shared" ref="V70:V77" si="47">IF(T$12=0,0,T70/T$12)</f>
        <v>-1.4497487510883332E-4</v>
      </c>
      <c r="W70" s="1"/>
      <c r="X70" s="1">
        <f t="shared" ref="X70:X77" si="48">+P70-T70</f>
        <v>30.15</v>
      </c>
      <c r="Y70" s="1"/>
      <c r="Z70" s="5">
        <f t="shared" ref="Z70:Z77" si="49">IF(T70=0,0,X70/T70)</f>
        <v>-1</v>
      </c>
    </row>
    <row r="71" spans="1:26" s="24" customFormat="1" hidden="1" outlineLevel="2" x14ac:dyDescent="0.3">
      <c r="A71" s="27"/>
      <c r="B71" s="12" t="str">
        <f>CONCATENATE("          ", "6279", " - ", "GENERAL EXPENSE")</f>
        <v xml:space="preserve">          6279 - GENERAL EXPENSE</v>
      </c>
      <c r="C71" s="12"/>
      <c r="D71" s="8"/>
      <c r="E71" s="3"/>
      <c r="F71" s="7">
        <f t="shared" si="42"/>
        <v>0</v>
      </c>
      <c r="G71" s="3"/>
      <c r="H71" s="8">
        <v>-30.15</v>
      </c>
      <c r="I71" s="3"/>
      <c r="J71" s="7">
        <f t="shared" si="43"/>
        <v>-1.4497487510883332E-4</v>
      </c>
      <c r="K71" s="3"/>
      <c r="L71" s="8">
        <f t="shared" si="44"/>
        <v>30.15</v>
      </c>
      <c r="M71" s="3"/>
      <c r="N71" s="7">
        <f t="shared" si="45"/>
        <v>-1</v>
      </c>
      <c r="O71" s="12"/>
      <c r="P71" s="8"/>
      <c r="Q71" s="3"/>
      <c r="R71" s="7">
        <f t="shared" si="46"/>
        <v>0</v>
      </c>
      <c r="S71" s="3"/>
      <c r="T71" s="8">
        <v>-30.15</v>
      </c>
      <c r="U71" s="3"/>
      <c r="V71" s="7">
        <f t="shared" si="47"/>
        <v>-1.4497487510883332E-4</v>
      </c>
      <c r="W71" s="3"/>
      <c r="X71" s="8">
        <f t="shared" si="48"/>
        <v>30.15</v>
      </c>
      <c r="Y71" s="3"/>
      <c r="Z71" s="7">
        <f t="shared" si="49"/>
        <v>-1</v>
      </c>
    </row>
    <row r="72" spans="1:26" s="29" customFormat="1" outlineLevel="1" collapsed="1" x14ac:dyDescent="0.3">
      <c r="A72" s="28"/>
      <c r="B72" s="14" t="str">
        <f>CONCATENATE("     ","Inventory Adjustment                              ")</f>
        <v xml:space="preserve">     Inventory Adjustment                              </v>
      </c>
      <c r="C72" s="14"/>
      <c r="D72" s="1">
        <f>SUM(OSRRefD22_7x_0)</f>
        <v>1470</v>
      </c>
      <c r="E72" s="1"/>
      <c r="F72" s="5">
        <f t="shared" si="42"/>
        <v>1.5423954135246045E-2</v>
      </c>
      <c r="G72" s="1"/>
      <c r="H72" s="1">
        <f>SUM(OSRRefH22_7x_0)</f>
        <v>1250</v>
      </c>
      <c r="I72" s="1"/>
      <c r="J72" s="5">
        <f t="shared" si="43"/>
        <v>6.0105669613944165E-3</v>
      </c>
      <c r="K72" s="1"/>
      <c r="L72" s="1">
        <f t="shared" si="44"/>
        <v>220</v>
      </c>
      <c r="M72" s="1"/>
      <c r="N72" s="5">
        <f t="shared" si="45"/>
        <v>0.17599999999999999</v>
      </c>
      <c r="O72" s="14"/>
      <c r="P72" s="1">
        <f>SUM(OSRRefP22_7x_0)</f>
        <v>1470</v>
      </c>
      <c r="Q72" s="1"/>
      <c r="R72" s="5">
        <f t="shared" si="46"/>
        <v>1.5423954135246045E-2</v>
      </c>
      <c r="S72" s="1"/>
      <c r="T72" s="1">
        <f>SUM(OSRRefT22_7x_0)</f>
        <v>1250</v>
      </c>
      <c r="U72" s="1"/>
      <c r="V72" s="5">
        <f t="shared" si="47"/>
        <v>6.0105669613944165E-3</v>
      </c>
      <c r="W72" s="1"/>
      <c r="X72" s="1">
        <f t="shared" si="48"/>
        <v>220</v>
      </c>
      <c r="Y72" s="1"/>
      <c r="Z72" s="5">
        <f t="shared" si="49"/>
        <v>0.17599999999999999</v>
      </c>
    </row>
    <row r="73" spans="1:26" s="24" customFormat="1" hidden="1" outlineLevel="2" x14ac:dyDescent="0.3">
      <c r="A73" s="27"/>
      <c r="B73" s="12" t="str">
        <f>CONCATENATE("          ", "6408", " - ", "INVENTORY ADJUSTMENT")</f>
        <v xml:space="preserve">          6408 - INVENTORY ADJUSTMENT</v>
      </c>
      <c r="C73" s="12"/>
      <c r="D73" s="8">
        <v>1470</v>
      </c>
      <c r="E73" s="3"/>
      <c r="F73" s="7">
        <f t="shared" si="42"/>
        <v>1.5423954135246045E-2</v>
      </c>
      <c r="G73" s="3"/>
      <c r="H73" s="8">
        <v>1250</v>
      </c>
      <c r="I73" s="3"/>
      <c r="J73" s="7">
        <f t="shared" si="43"/>
        <v>6.0105669613944165E-3</v>
      </c>
      <c r="K73" s="3"/>
      <c r="L73" s="8">
        <f t="shared" si="44"/>
        <v>220</v>
      </c>
      <c r="M73" s="3"/>
      <c r="N73" s="7">
        <f t="shared" si="45"/>
        <v>0.17599999999999999</v>
      </c>
      <c r="O73" s="12"/>
      <c r="P73" s="8">
        <v>1470</v>
      </c>
      <c r="Q73" s="3"/>
      <c r="R73" s="7">
        <f t="shared" si="46"/>
        <v>1.5423954135246045E-2</v>
      </c>
      <c r="S73" s="3"/>
      <c r="T73" s="8">
        <v>1250</v>
      </c>
      <c r="U73" s="3"/>
      <c r="V73" s="7">
        <f t="shared" si="47"/>
        <v>6.0105669613944165E-3</v>
      </c>
      <c r="W73" s="3"/>
      <c r="X73" s="8">
        <f t="shared" si="48"/>
        <v>220</v>
      </c>
      <c r="Y73" s="3"/>
      <c r="Z73" s="7">
        <f t="shared" si="49"/>
        <v>0.17599999999999999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SUM(OSRRefD22_8x_0)</f>
        <v>2041.8</v>
      </c>
      <c r="E74" s="1"/>
      <c r="F74" s="5">
        <f t="shared" si="42"/>
        <v>2.1423557519282568E-2</v>
      </c>
      <c r="G74" s="1"/>
      <c r="H74" s="1">
        <f>SUM(OSRRefH22_8x_0)</f>
        <v>668.12</v>
      </c>
      <c r="I74" s="1"/>
      <c r="J74" s="5">
        <f t="shared" si="43"/>
        <v>3.2126239985974703E-3</v>
      </c>
      <c r="K74" s="1"/>
      <c r="L74" s="1">
        <f t="shared" si="44"/>
        <v>1373.6799999999998</v>
      </c>
      <c r="M74" s="1"/>
      <c r="N74" s="5">
        <f t="shared" si="45"/>
        <v>2.0560378375142188</v>
      </c>
      <c r="O74" s="14"/>
      <c r="P74" s="1">
        <f>SUM(OSRRefP22_8x_0)</f>
        <v>2041.8</v>
      </c>
      <c r="Q74" s="1"/>
      <c r="R74" s="5">
        <f t="shared" si="46"/>
        <v>2.1423557519282568E-2</v>
      </c>
      <c r="S74" s="1"/>
      <c r="T74" s="1">
        <f>SUM(OSRRefT22_8x_0)</f>
        <v>668.12</v>
      </c>
      <c r="U74" s="1"/>
      <c r="V74" s="5">
        <f t="shared" si="47"/>
        <v>3.2126239985974703E-3</v>
      </c>
      <c r="W74" s="1"/>
      <c r="X74" s="1">
        <f t="shared" si="48"/>
        <v>1373.6799999999998</v>
      </c>
      <c r="Y74" s="1"/>
      <c r="Z74" s="5">
        <f t="shared" si="49"/>
        <v>2.0560378375142188</v>
      </c>
    </row>
    <row r="75" spans="1:26" s="24" customFormat="1" hidden="1" outlineLevel="2" x14ac:dyDescent="0.3">
      <c r="A75" s="27"/>
      <c r="B75" s="12" t="str">
        <f>CONCATENATE("          ", "6235", " - ", "COVID-19 EXPENSES")</f>
        <v xml:space="preserve">          6235 - COVID-19 EXPENSES</v>
      </c>
      <c r="C75" s="12"/>
      <c r="D75" s="8"/>
      <c r="E75" s="3"/>
      <c r="F75" s="7">
        <f t="shared" si="42"/>
        <v>0</v>
      </c>
      <c r="G75" s="3"/>
      <c r="H75" s="8">
        <v>668.12</v>
      </c>
      <c r="I75" s="3"/>
      <c r="J75" s="7">
        <f t="shared" si="43"/>
        <v>3.2126239985974703E-3</v>
      </c>
      <c r="K75" s="3"/>
      <c r="L75" s="8">
        <f t="shared" si="44"/>
        <v>-668.12</v>
      </c>
      <c r="M75" s="3"/>
      <c r="N75" s="7">
        <f t="shared" si="45"/>
        <v>-1</v>
      </c>
      <c r="O75" s="12"/>
      <c r="P75" s="8"/>
      <c r="Q75" s="3"/>
      <c r="R75" s="7">
        <f t="shared" si="46"/>
        <v>0</v>
      </c>
      <c r="S75" s="3"/>
      <c r="T75" s="8">
        <v>668.12</v>
      </c>
      <c r="U75" s="3"/>
      <c r="V75" s="7">
        <f t="shared" si="47"/>
        <v>3.2126239985974703E-3</v>
      </c>
      <c r="W75" s="3"/>
      <c r="X75" s="8">
        <f t="shared" si="48"/>
        <v>-668.12</v>
      </c>
      <c r="Y75" s="3"/>
      <c r="Z75" s="7">
        <f t="shared" si="49"/>
        <v>-1</v>
      </c>
    </row>
    <row r="76" spans="1:26" s="24" customFormat="1" hidden="1" outlineLevel="2" x14ac:dyDescent="0.3">
      <c r="A76" s="27"/>
      <c r="B76" s="12" t="str">
        <f>CONCATENATE("          ", "6241", " - ", "OFFICE EXPENSE")</f>
        <v xml:space="preserve">          6241 - OFFICE EXPENSE</v>
      </c>
      <c r="C76" s="12"/>
      <c r="D76" s="8">
        <v>8.8000000000000007</v>
      </c>
      <c r="E76" s="3"/>
      <c r="F76" s="7">
        <f t="shared" si="42"/>
        <v>9.2333875095350484E-5</v>
      </c>
      <c r="G76" s="3"/>
      <c r="H76" s="8"/>
      <c r="I76" s="3"/>
      <c r="J76" s="7">
        <f t="shared" si="43"/>
        <v>0</v>
      </c>
      <c r="K76" s="3"/>
      <c r="L76" s="8">
        <f t="shared" si="44"/>
        <v>8.8000000000000007</v>
      </c>
      <c r="M76" s="3"/>
      <c r="N76" s="7">
        <f t="shared" si="45"/>
        <v>0</v>
      </c>
      <c r="O76" s="12"/>
      <c r="P76" s="8">
        <v>8.8000000000000007</v>
      </c>
      <c r="Q76" s="3"/>
      <c r="R76" s="7">
        <f t="shared" si="46"/>
        <v>9.2333875095350484E-5</v>
      </c>
      <c r="S76" s="3"/>
      <c r="T76" s="8"/>
      <c r="U76" s="3"/>
      <c r="V76" s="7">
        <f t="shared" si="47"/>
        <v>0</v>
      </c>
      <c r="W76" s="3"/>
      <c r="X76" s="8">
        <f t="shared" si="48"/>
        <v>8.8000000000000007</v>
      </c>
      <c r="Y76" s="3"/>
      <c r="Z76" s="7">
        <f t="shared" si="49"/>
        <v>0</v>
      </c>
    </row>
    <row r="77" spans="1:26" s="24" customFormat="1" hidden="1" outlineLevel="2" x14ac:dyDescent="0.3">
      <c r="A77" s="27"/>
      <c r="B77" s="12" t="str">
        <f>CONCATENATE("          ", "6247", " - ", "STORE SUPPLIES")</f>
        <v xml:space="preserve">          6247 - STORE SUPPLIES</v>
      </c>
      <c r="C77" s="12"/>
      <c r="D77" s="8">
        <v>2033</v>
      </c>
      <c r="E77" s="3"/>
      <c r="F77" s="7">
        <f t="shared" si="42"/>
        <v>2.1331223644187217E-2</v>
      </c>
      <c r="G77" s="3"/>
      <c r="H77" s="8"/>
      <c r="I77" s="3"/>
      <c r="J77" s="7">
        <f t="shared" si="43"/>
        <v>0</v>
      </c>
      <c r="K77" s="3"/>
      <c r="L77" s="8">
        <f t="shared" si="44"/>
        <v>2033</v>
      </c>
      <c r="M77" s="3"/>
      <c r="N77" s="7">
        <f t="shared" si="45"/>
        <v>0</v>
      </c>
      <c r="O77" s="12"/>
      <c r="P77" s="8">
        <v>2033</v>
      </c>
      <c r="Q77" s="3"/>
      <c r="R77" s="7">
        <f t="shared" si="46"/>
        <v>2.1331223644187217E-2</v>
      </c>
      <c r="S77" s="3"/>
      <c r="T77" s="8"/>
      <c r="U77" s="3"/>
      <c r="V77" s="7">
        <f t="shared" si="47"/>
        <v>0</v>
      </c>
      <c r="W77" s="3"/>
      <c r="X77" s="8">
        <f t="shared" si="48"/>
        <v>2033</v>
      </c>
      <c r="Y77" s="3"/>
      <c r="Z77" s="7">
        <f t="shared" si="49"/>
        <v>0</v>
      </c>
    </row>
    <row r="78" spans="1:26" s="29" customFormat="1" outlineLevel="1" collapsed="1" x14ac:dyDescent="0.3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SUM(OSRRefD22_9x_0)</f>
        <v>283.3</v>
      </c>
      <c r="E78" s="1"/>
      <c r="F78" s="5">
        <f t="shared" ref="F78:F79" si="50">IF(D$12=0,0,D78/D$12)</f>
        <v>2.972521228921908E-3</v>
      </c>
      <c r="G78" s="1"/>
      <c r="H78" s="1">
        <f>SUM(OSRRefH22_9x_0)</f>
        <v>304.8</v>
      </c>
      <c r="I78" s="1"/>
      <c r="J78" s="5">
        <f t="shared" ref="J78:J79" si="51">IF(H$12=0,0,H78/H$12)</f>
        <v>1.4656166478664147E-3</v>
      </c>
      <c r="K78" s="1"/>
      <c r="L78" s="1">
        <f t="shared" ref="L78:L79" si="52">+D78-H78</f>
        <v>-21.5</v>
      </c>
      <c r="M78" s="1"/>
      <c r="N78" s="5">
        <f t="shared" ref="N78:N79" si="53">IF(H78=0,0,L78/H78)</f>
        <v>-7.0538057742782156E-2</v>
      </c>
      <c r="O78" s="14"/>
      <c r="P78" s="1">
        <f>SUM(OSRRefP22_9x_0)</f>
        <v>283.3</v>
      </c>
      <c r="Q78" s="1"/>
      <c r="R78" s="5">
        <f t="shared" ref="R78:R79" si="54">IF(P$12=0,0,P78/P$12)</f>
        <v>2.972521228921908E-3</v>
      </c>
      <c r="S78" s="1"/>
      <c r="T78" s="1">
        <f>SUM(OSRRefT22_9x_0)</f>
        <v>304.8</v>
      </c>
      <c r="U78" s="1"/>
      <c r="V78" s="5">
        <f t="shared" ref="V78:V79" si="55">IF(T$12=0,0,T78/T$12)</f>
        <v>1.4656166478664147E-3</v>
      </c>
      <c r="W78" s="1"/>
      <c r="X78" s="1">
        <f t="shared" ref="X78:X79" si="56">+P78-T78</f>
        <v>-21.5</v>
      </c>
      <c r="Y78" s="1"/>
      <c r="Z78" s="5">
        <f t="shared" ref="Z78:Z79" si="57">IF(T78=0,0,X78/T78)</f>
        <v>-7.0538057742782156E-2</v>
      </c>
    </row>
    <row r="79" spans="1:26" s="24" customFormat="1" hidden="1" outlineLevel="2" x14ac:dyDescent="0.3">
      <c r="A79" s="27"/>
      <c r="B79" s="12" t="str">
        <f>CONCATENATE("          ", "6309", " - ", "TELEPHONE")</f>
        <v xml:space="preserve">          6309 - TELEPHONE</v>
      </c>
      <c r="C79" s="12"/>
      <c r="D79" s="8">
        <v>283.3</v>
      </c>
      <c r="E79" s="3"/>
      <c r="F79" s="7">
        <f t="shared" si="50"/>
        <v>2.972521228921908E-3</v>
      </c>
      <c r="G79" s="3"/>
      <c r="H79" s="8">
        <v>304.8</v>
      </c>
      <c r="I79" s="3"/>
      <c r="J79" s="7">
        <f t="shared" si="51"/>
        <v>1.4656166478664147E-3</v>
      </c>
      <c r="K79" s="3"/>
      <c r="L79" s="8">
        <f t="shared" si="52"/>
        <v>-21.5</v>
      </c>
      <c r="M79" s="3"/>
      <c r="N79" s="7">
        <f t="shared" si="53"/>
        <v>-7.0538057742782156E-2</v>
      </c>
      <c r="O79" s="12"/>
      <c r="P79" s="8">
        <v>283.3</v>
      </c>
      <c r="Q79" s="3"/>
      <c r="R79" s="7">
        <f t="shared" si="54"/>
        <v>2.972521228921908E-3</v>
      </c>
      <c r="S79" s="3"/>
      <c r="T79" s="8">
        <v>304.8</v>
      </c>
      <c r="U79" s="3"/>
      <c r="V79" s="7">
        <f t="shared" si="55"/>
        <v>1.4656166478664147E-3</v>
      </c>
      <c r="W79" s="3"/>
      <c r="X79" s="8">
        <f t="shared" si="56"/>
        <v>-21.5</v>
      </c>
      <c r="Y79" s="3"/>
      <c r="Z79" s="7">
        <f t="shared" si="57"/>
        <v>-7.0538057742782156E-2</v>
      </c>
    </row>
    <row r="80" spans="1:26" s="53" customFormat="1" x14ac:dyDescent="0.3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3">
      <c r="A81" s="10"/>
      <c r="B81" s="25" t="s">
        <v>292</v>
      </c>
      <c r="C81" s="10"/>
      <c r="D81" s="4">
        <f>SUM(OSRRefD25x_0)</f>
        <v>193.38</v>
      </c>
      <c r="E81" s="4"/>
      <c r="F81" s="11">
        <f t="shared" ref="F81:F84" si="58">IF(D$12=0,0,D81/D$12)</f>
        <v>2.0290369052203268E-3</v>
      </c>
      <c r="G81" s="4"/>
      <c r="H81" s="4">
        <f>SUM(OSRRefH25x_0)</f>
        <v>-375.36</v>
      </c>
      <c r="I81" s="4"/>
      <c r="J81" s="11">
        <f t="shared" ref="J81:J84" si="59">IF(H$12=0,0,H81/H$12)</f>
        <v>-1.8049011317032067E-3</v>
      </c>
      <c r="K81" s="4"/>
      <c r="L81" s="4">
        <f t="shared" ref="L81:L84" si="60">+D81-H81</f>
        <v>568.74</v>
      </c>
      <c r="M81" s="4"/>
      <c r="N81" s="11">
        <f t="shared" ref="N81:N84" si="61">IF(H81=0,0,L81/H81)</f>
        <v>-1.5151854219948848</v>
      </c>
      <c r="O81" s="10"/>
      <c r="P81" s="4">
        <f>SUM(OSRRefP25x_0)</f>
        <v>193.38</v>
      </c>
      <c r="Q81" s="4"/>
      <c r="R81" s="11">
        <f t="shared" ref="R81:R84" si="62">IF(P$12=0,0,P81/P$12)</f>
        <v>2.0290369052203268E-3</v>
      </c>
      <c r="S81" s="4"/>
      <c r="T81" s="4">
        <f>SUM(OSRRefT25x_0)</f>
        <v>-375.36</v>
      </c>
      <c r="U81" s="4"/>
      <c r="V81" s="11">
        <f t="shared" ref="V81:V84" si="63">IF(T$12=0,0,T81/T$12)</f>
        <v>-1.8049011317032067E-3</v>
      </c>
      <c r="W81" s="4"/>
      <c r="X81" s="4">
        <f t="shared" ref="X81:X84" si="64">+P81-T81</f>
        <v>568.74</v>
      </c>
      <c r="Y81" s="4"/>
      <c r="Z81" s="11">
        <f t="shared" ref="Z81:Z84" si="65">IF(T81=0,0,X81/T81)</f>
        <v>-1.5151854219948848</v>
      </c>
    </row>
    <row r="82" spans="1:26" s="24" customFormat="1" hidden="1" outlineLevel="1" x14ac:dyDescent="0.3">
      <c r="A82" s="50"/>
      <c r="B82" s="12" t="str">
        <f>CONCATENATE("          ", "4187", " - ", "NON-TAXABLE SALES-COMPUTER REP")</f>
        <v xml:space="preserve">          4187 - NON-TAXABLE SALES-COMPUTER REP</v>
      </c>
      <c r="C82" s="12"/>
      <c r="D82" s="3">
        <f>0</f>
        <v>0</v>
      </c>
      <c r="E82" s="3"/>
      <c r="F82" s="22">
        <f t="shared" si="58"/>
        <v>0</v>
      </c>
      <c r="G82" s="3"/>
      <c r="H82" s="3">
        <f>--19.99</f>
        <v>19.989999999999998</v>
      </c>
      <c r="I82" s="3"/>
      <c r="J82" s="22">
        <f t="shared" si="59"/>
        <v>9.6120986846619499E-5</v>
      </c>
      <c r="K82" s="3"/>
      <c r="L82" s="3">
        <f t="shared" si="60"/>
        <v>-19.989999999999998</v>
      </c>
      <c r="M82" s="3"/>
      <c r="N82" s="22">
        <f t="shared" si="61"/>
        <v>-1</v>
      </c>
      <c r="O82" s="12"/>
      <c r="P82" s="3">
        <f>0</f>
        <v>0</v>
      </c>
      <c r="Q82" s="3"/>
      <c r="R82" s="22">
        <f t="shared" si="62"/>
        <v>0</v>
      </c>
      <c r="S82" s="3"/>
      <c r="T82" s="3">
        <f>--19.99</f>
        <v>19.989999999999998</v>
      </c>
      <c r="U82" s="3"/>
      <c r="V82" s="22">
        <f t="shared" si="63"/>
        <v>9.6120986846619499E-5</v>
      </c>
      <c r="W82" s="3"/>
      <c r="X82" s="3">
        <f t="shared" si="64"/>
        <v>-19.989999999999998</v>
      </c>
      <c r="Y82" s="3"/>
      <c r="Z82" s="22">
        <f t="shared" si="65"/>
        <v>-1</v>
      </c>
    </row>
    <row r="83" spans="1:26" s="24" customFormat="1" hidden="1" outlineLevel="1" x14ac:dyDescent="0.3">
      <c r="A83" s="50"/>
      <c r="B83" s="12" t="str">
        <f>CONCATENATE("          ", "9087", " - ", "")</f>
        <v xml:space="preserve">          9087 - </v>
      </c>
      <c r="C83" s="12"/>
      <c r="D83" s="3">
        <f>--73.47</f>
        <v>73.47</v>
      </c>
      <c r="E83" s="3"/>
      <c r="F83" s="22">
        <f t="shared" si="58"/>
        <v>7.7088293218811356E-4</v>
      </c>
      <c r="G83" s="3"/>
      <c r="H83" s="3">
        <f>0</f>
        <v>0</v>
      </c>
      <c r="I83" s="3"/>
      <c r="J83" s="22">
        <f t="shared" si="59"/>
        <v>0</v>
      </c>
      <c r="K83" s="3"/>
      <c r="L83" s="3">
        <f t="shared" si="60"/>
        <v>73.47</v>
      </c>
      <c r="M83" s="3"/>
      <c r="N83" s="22">
        <f t="shared" si="61"/>
        <v>0</v>
      </c>
      <c r="O83" s="12"/>
      <c r="P83" s="3">
        <f>--73.47</f>
        <v>73.47</v>
      </c>
      <c r="Q83" s="3"/>
      <c r="R83" s="22">
        <f t="shared" si="62"/>
        <v>7.7088293218811356E-4</v>
      </c>
      <c r="S83" s="3"/>
      <c r="T83" s="3">
        <f>0</f>
        <v>0</v>
      </c>
      <c r="U83" s="3"/>
      <c r="V83" s="22">
        <f t="shared" si="63"/>
        <v>0</v>
      </c>
      <c r="W83" s="3"/>
      <c r="X83" s="3">
        <f t="shared" si="64"/>
        <v>73.47</v>
      </c>
      <c r="Y83" s="3"/>
      <c r="Z83" s="22">
        <f t="shared" si="65"/>
        <v>0</v>
      </c>
    </row>
    <row r="84" spans="1:26" s="24" customFormat="1" hidden="1" outlineLevel="1" x14ac:dyDescent="0.3">
      <c r="A84" s="50"/>
      <c r="B84" s="12" t="str">
        <f>CONCATENATE("          ", "9150", " - ", "MISC. INCOME")</f>
        <v xml:space="preserve">          9150 - MISC. INCOME</v>
      </c>
      <c r="C84" s="12"/>
      <c r="D84" s="3">
        <f>--119.91</f>
        <v>119.91</v>
      </c>
      <c r="E84" s="3"/>
      <c r="F84" s="22">
        <f t="shared" si="58"/>
        <v>1.2581539730322131E-3</v>
      </c>
      <c r="G84" s="3"/>
      <c r="H84" s="3">
        <f>-395.35</f>
        <v>-395.35</v>
      </c>
      <c r="I84" s="3"/>
      <c r="J84" s="22">
        <f t="shared" si="59"/>
        <v>-1.9010221185498262E-3</v>
      </c>
      <c r="K84" s="3"/>
      <c r="L84" s="3">
        <f t="shared" si="60"/>
        <v>515.26</v>
      </c>
      <c r="M84" s="3"/>
      <c r="N84" s="22">
        <f t="shared" si="61"/>
        <v>-1.3033008726444921</v>
      </c>
      <c r="O84" s="12"/>
      <c r="P84" s="3">
        <f>--119.91</f>
        <v>119.91</v>
      </c>
      <c r="Q84" s="3"/>
      <c r="R84" s="22">
        <f t="shared" si="62"/>
        <v>1.2581539730322131E-3</v>
      </c>
      <c r="S84" s="3"/>
      <c r="T84" s="3">
        <f>-395.35</f>
        <v>-395.35</v>
      </c>
      <c r="U84" s="3"/>
      <c r="V84" s="22">
        <f t="shared" si="63"/>
        <v>-1.9010221185498262E-3</v>
      </c>
      <c r="W84" s="3"/>
      <c r="X84" s="3">
        <f t="shared" si="64"/>
        <v>515.26</v>
      </c>
      <c r="Y84" s="3"/>
      <c r="Z84" s="22">
        <f t="shared" si="65"/>
        <v>-1.3033008726444921</v>
      </c>
    </row>
    <row r="85" spans="1:26" x14ac:dyDescent="0.3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x14ac:dyDescent="0.3">
      <c r="A86" s="10"/>
      <c r="B86" s="26" t="s">
        <v>276</v>
      </c>
      <c r="C86" s="26"/>
      <c r="D86" s="20">
        <f>+D44-D46+D81</f>
        <v>-3756.4600000000146</v>
      </c>
      <c r="E86" s="13"/>
      <c r="F86" s="21">
        <f>IF(D$12=0,0,D86/D$12)</f>
        <v>-3.9414603231895634E-2</v>
      </c>
      <c r="G86" s="13"/>
      <c r="H86" s="20">
        <f>+H44-H46+H81</f>
        <v>11856.049999999976</v>
      </c>
      <c r="I86" s="13"/>
      <c r="J86" s="21">
        <f>IF(H$12=0,0,H86/H$12)</f>
        <v>5.7009265938112105E-2</v>
      </c>
      <c r="K86" s="16"/>
      <c r="L86" s="20">
        <f>+D86-H86</f>
        <v>-15612.509999999991</v>
      </c>
      <c r="M86" s="16"/>
      <c r="N86" s="21">
        <f>IF(H86=0,0,L86/H86)</f>
        <v>-1.3168390821563694</v>
      </c>
      <c r="O86" s="25"/>
      <c r="P86" s="20">
        <f>+P44-P46+P81</f>
        <v>-3756.4600000000146</v>
      </c>
      <c r="Q86" s="13"/>
      <c r="R86" s="21">
        <f>IF(P$12=0,0,P86/P$12)</f>
        <v>-3.9414603231895634E-2</v>
      </c>
      <c r="S86" s="13"/>
      <c r="T86" s="20">
        <f>+T44-T46+T81</f>
        <v>11856.049999999976</v>
      </c>
      <c r="U86" s="13"/>
      <c r="V86" s="21">
        <f>IF(T$12=0,0,T86/T$12)</f>
        <v>5.7009265938112105E-2</v>
      </c>
      <c r="W86" s="16"/>
      <c r="X86" s="20">
        <f>+P86-T86</f>
        <v>-15612.509999999991</v>
      </c>
      <c r="Y86" s="16"/>
      <c r="Z86" s="21">
        <f>IF(T86=0,0,X86/T86)</f>
        <v>-1.3168390821563694</v>
      </c>
    </row>
    <row r="87" spans="1:26" x14ac:dyDescent="0.3">
      <c r="A87" s="9"/>
      <c r="B87" s="10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3">
      <c r="A88" s="51"/>
      <c r="B88" s="10" t="s">
        <v>127</v>
      </c>
      <c r="C88" s="10"/>
      <c r="D88" s="4">
        <v>44031.12</v>
      </c>
      <c r="E88" s="4"/>
      <c r="F88" s="11">
        <f>IF(D$12=0,0,D88/D$12)</f>
        <v>0.46199590163504417</v>
      </c>
      <c r="G88" s="4"/>
      <c r="H88" s="4">
        <v>100199.48</v>
      </c>
      <c r="I88" s="4"/>
      <c r="J88" s="11">
        <f>IF(H$12=0,0,H88/H$12)</f>
        <v>0.48180454722952049</v>
      </c>
      <c r="K88" s="4"/>
      <c r="L88" s="4">
        <f>+D88-H88</f>
        <v>-56168.359999999993</v>
      </c>
      <c r="M88" s="4"/>
      <c r="N88" s="11">
        <f>IF(H88=0,0,L88/H88)</f>
        <v>-0.56056538417165436</v>
      </c>
      <c r="O88" s="10"/>
      <c r="P88" s="4">
        <v>44031.12</v>
      </c>
      <c r="Q88" s="4"/>
      <c r="R88" s="11">
        <f>IF(P$12=0,0,P88/P$12)</f>
        <v>0.46199590163504417</v>
      </c>
      <c r="S88" s="4"/>
      <c r="T88" s="4">
        <v>100199.48</v>
      </c>
      <c r="U88" s="4"/>
      <c r="V88" s="11">
        <f>IF(T$12=0,0,T88/T$12)</f>
        <v>0.48180454722952049</v>
      </c>
      <c r="W88" s="4"/>
      <c r="X88" s="4">
        <f>+P88-T88</f>
        <v>-56168.359999999993</v>
      </c>
      <c r="Y88" s="4"/>
      <c r="Z88" s="11">
        <f>IF(T88=0,0,X88/T88)</f>
        <v>-0.56056538417165436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ht="15" thickBot="1" x14ac:dyDescent="0.35">
      <c r="A90" s="10"/>
      <c r="B90" s="26" t="s">
        <v>125</v>
      </c>
      <c r="C90" s="26"/>
      <c r="D90" s="36">
        <f>+D86-D88</f>
        <v>-47787.580000000016</v>
      </c>
      <c r="E90" s="13"/>
      <c r="F90" s="34">
        <f>IF(D$12=0,0,D90/D$12)</f>
        <v>-0.50141050486693972</v>
      </c>
      <c r="G90" s="13"/>
      <c r="H90" s="36">
        <f>+H86-H88</f>
        <v>-88343.430000000022</v>
      </c>
      <c r="I90" s="13"/>
      <c r="J90" s="34">
        <f>IF(H$12=0,0,H90/H$12)</f>
        <v>-0.42479528129140837</v>
      </c>
      <c r="K90" s="16"/>
      <c r="L90" s="36">
        <f>D90-H90</f>
        <v>40555.850000000006</v>
      </c>
      <c r="M90" s="16"/>
      <c r="N90" s="34">
        <f>IF(H90=0,0,L90/H90)</f>
        <v>-0.45907035758063724</v>
      </c>
      <c r="O90" s="25"/>
      <c r="P90" s="36">
        <f>+P86-P88</f>
        <v>-47787.580000000016</v>
      </c>
      <c r="Q90" s="13"/>
      <c r="R90" s="34">
        <f>IF(P$12=0,0,P90/P$12)</f>
        <v>-0.50141050486693972</v>
      </c>
      <c r="S90" s="13"/>
      <c r="T90" s="36">
        <f>+T86-T88</f>
        <v>-88343.430000000022</v>
      </c>
      <c r="U90" s="13"/>
      <c r="V90" s="34">
        <f>IF(T$12=0,0,T90/T$12)</f>
        <v>-0.42479528129140837</v>
      </c>
      <c r="W90" s="16"/>
      <c r="X90" s="36">
        <f>P90-T90</f>
        <v>40555.850000000006</v>
      </c>
      <c r="Y90" s="16"/>
      <c r="Z90" s="34">
        <f>IF(T90=0,0,X90/T90)</f>
        <v>-0.45907035758063724</v>
      </c>
    </row>
    <row r="91" spans="1:26" ht="15" thickTop="1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x14ac:dyDescent="0.3">
      <c r="A92" s="9"/>
      <c r="B92" s="9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ht="15" thickBot="1" x14ac:dyDescent="0.35">
      <c r="A93" s="10"/>
      <c r="B93" s="26" t="s">
        <v>293</v>
      </c>
      <c r="C93" s="26"/>
      <c r="D93" s="31">
        <f>SUM(D90:D92)</f>
        <v>-47787.580000000016</v>
      </c>
      <c r="E93" s="13"/>
      <c r="F93" s="33">
        <f>IF(D$12=0,0,D93/D$12)</f>
        <v>-0.50141050486693972</v>
      </c>
      <c r="G93" s="13"/>
      <c r="H93" s="31">
        <f>SUM(H90:H92)</f>
        <v>-88343.430000000022</v>
      </c>
      <c r="I93" s="13"/>
      <c r="J93" s="33">
        <f>IF(H$12=0,0,H93/H$12)</f>
        <v>-0.42479528129140837</v>
      </c>
      <c r="K93" s="16"/>
      <c r="L93" s="31">
        <f>+D93-H93</f>
        <v>40555.850000000006</v>
      </c>
      <c r="M93" s="16"/>
      <c r="N93" s="33">
        <f>IF(H93=0,0,L93/H93)</f>
        <v>-0.45907035758063724</v>
      </c>
      <c r="O93" s="25"/>
      <c r="P93" s="31">
        <f>SUM(P90:P92)</f>
        <v>-47787.580000000016</v>
      </c>
      <c r="Q93" s="13"/>
      <c r="R93" s="33">
        <f>IF(P$12=0,0,P93/P$12)</f>
        <v>-0.50141050486693972</v>
      </c>
      <c r="S93" s="13"/>
      <c r="T93" s="31">
        <f>SUM(T90:T92)</f>
        <v>-88343.430000000022</v>
      </c>
      <c r="U93" s="13"/>
      <c r="V93" s="33">
        <f>IF(T$12=0,0,T93/T$12)</f>
        <v>-0.42479528129140837</v>
      </c>
      <c r="W93" s="16"/>
      <c r="X93" s="31">
        <f>+P93-T93</f>
        <v>40555.850000000006</v>
      </c>
      <c r="Y93" s="16"/>
      <c r="Z93" s="33">
        <f>IF(T93=0,0,X93/T93)</f>
        <v>-0.45907035758063724</v>
      </c>
    </row>
    <row r="94" spans="1:26" ht="15" thickTop="1" x14ac:dyDescent="0.3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9">
        <v>44462.666945868055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7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61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6" si="0">+D12-H12</f>
        <v>0</v>
      </c>
      <c r="M12" s="4"/>
      <c r="N12" s="11">
        <f t="shared" ref="N12:N16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6" si="2">+P12-T12</f>
        <v>0</v>
      </c>
      <c r="Y12" s="4"/>
      <c r="Z12" s="11">
        <f t="shared" ref="Z12:Z16" si="3">IF(T12=0,0,X12/T12)</f>
        <v>0</v>
      </c>
    </row>
    <row r="13" spans="1:26" s="24" customFormat="1" hidden="1" outlineLevel="1" x14ac:dyDescent="0.3">
      <c r="A13" s="50"/>
      <c r="B13" s="12" t="str">
        <f>CONCATENATE("          ", "4034", " - ", "TAXABLE SALES-SODA")</f>
        <v xml:space="preserve">          4034 - TAXABLE SALES-SODA</v>
      </c>
      <c r="C13" s="12"/>
      <c r="D13" s="3">
        <f t="shared" ref="D13:D16" si="4">0</f>
        <v>0</v>
      </c>
      <c r="E13" s="3"/>
      <c r="F13" s="22"/>
      <c r="G13" s="3"/>
      <c r="H13" s="3">
        <f t="shared" ref="H13:H16" si="5">0</f>
        <v>0</v>
      </c>
      <c r="I13" s="3"/>
      <c r="J13" s="22"/>
      <c r="K13" s="3"/>
      <c r="L13" s="3">
        <f t="shared" si="0"/>
        <v>0</v>
      </c>
      <c r="M13" s="3"/>
      <c r="N13" s="22">
        <f t="shared" si="1"/>
        <v>0</v>
      </c>
      <c r="O13" s="12"/>
      <c r="P13" s="3">
        <f t="shared" ref="P13:P16" si="6">0</f>
        <v>0</v>
      </c>
      <c r="Q13" s="3"/>
      <c r="R13" s="22"/>
      <c r="S13" s="3"/>
      <c r="T13" s="3">
        <f t="shared" ref="T13:T16" si="7">0</f>
        <v>0</v>
      </c>
      <c r="U13" s="3"/>
      <c r="V13" s="22"/>
      <c r="W13" s="3"/>
      <c r="X13" s="3">
        <f t="shared" si="2"/>
        <v>0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"4132", " - ", "NON-TAXABLE SALES-JUICE")</f>
        <v xml:space="preserve">          4132 - NON-TAXABLE SALES-JUICE</v>
      </c>
      <c r="C14" s="12"/>
      <c r="D14" s="3">
        <f t="shared" si="4"/>
        <v>0</v>
      </c>
      <c r="E14" s="3"/>
      <c r="F14" s="22"/>
      <c r="G14" s="3"/>
      <c r="H14" s="3">
        <f t="shared" si="5"/>
        <v>0</v>
      </c>
      <c r="I14" s="3"/>
      <c r="J14" s="22"/>
      <c r="K14" s="3"/>
      <c r="L14" s="3">
        <f t="shared" si="0"/>
        <v>0</v>
      </c>
      <c r="M14" s="3"/>
      <c r="N14" s="22">
        <f t="shared" si="1"/>
        <v>0</v>
      </c>
      <c r="O14" s="12"/>
      <c r="P14" s="3">
        <f t="shared" si="6"/>
        <v>0</v>
      </c>
      <c r="Q14" s="3"/>
      <c r="R14" s="22"/>
      <c r="S14" s="3"/>
      <c r="T14" s="3">
        <f t="shared" si="7"/>
        <v>0</v>
      </c>
      <c r="U14" s="3"/>
      <c r="V14" s="22"/>
      <c r="W14" s="3"/>
      <c r="X14" s="3">
        <f t="shared" si="2"/>
        <v>0</v>
      </c>
      <c r="Y14" s="3"/>
      <c r="Z14" s="22">
        <f t="shared" si="3"/>
        <v>0</v>
      </c>
    </row>
    <row r="15" spans="1:26" s="24" customFormat="1" hidden="1" outlineLevel="1" x14ac:dyDescent="0.3">
      <c r="A15" s="50"/>
      <c r="B15" s="12" t="str">
        <f>CONCATENATE("          ", "4134", " - ", "NON-TAXABLE SALES-SODA")</f>
        <v xml:space="preserve">          4134 - NON-TAXABLE SALES-SODA</v>
      </c>
      <c r="C15" s="12"/>
      <c r="D15" s="3">
        <f t="shared" si="4"/>
        <v>0</v>
      </c>
      <c r="E15" s="3"/>
      <c r="F15" s="22"/>
      <c r="G15" s="3"/>
      <c r="H15" s="3">
        <f t="shared" si="5"/>
        <v>0</v>
      </c>
      <c r="I15" s="3"/>
      <c r="J15" s="22"/>
      <c r="K15" s="3"/>
      <c r="L15" s="3">
        <f t="shared" si="0"/>
        <v>0</v>
      </c>
      <c r="M15" s="3"/>
      <c r="N15" s="22">
        <f t="shared" si="1"/>
        <v>0</v>
      </c>
      <c r="O15" s="12"/>
      <c r="P15" s="3">
        <f t="shared" si="6"/>
        <v>0</v>
      </c>
      <c r="Q15" s="3"/>
      <c r="R15" s="22"/>
      <c r="S15" s="3"/>
      <c r="T15" s="3">
        <f t="shared" si="7"/>
        <v>0</v>
      </c>
      <c r="U15" s="3"/>
      <c r="V15" s="22"/>
      <c r="W15" s="3"/>
      <c r="X15" s="3">
        <f t="shared" si="2"/>
        <v>0</v>
      </c>
      <c r="Y15" s="3"/>
      <c r="Z15" s="22">
        <f t="shared" si="3"/>
        <v>0</v>
      </c>
    </row>
    <row r="16" spans="1:26" s="24" customFormat="1" hidden="1" outlineLevel="1" x14ac:dyDescent="0.3">
      <c r="A16" s="50"/>
      <c r="B16" s="12" t="str">
        <f>CONCATENATE("          ", "4137", " - ", "NON-TAXABLE SALES-WATER")</f>
        <v xml:space="preserve">          4137 - NON-TAXABLE SALES-WATER</v>
      </c>
      <c r="C16" s="12"/>
      <c r="D16" s="3">
        <f t="shared" si="4"/>
        <v>0</v>
      </c>
      <c r="E16" s="3"/>
      <c r="F16" s="22"/>
      <c r="G16" s="3"/>
      <c r="H16" s="3">
        <f t="shared" si="5"/>
        <v>0</v>
      </c>
      <c r="I16" s="3"/>
      <c r="J16" s="22"/>
      <c r="K16" s="3"/>
      <c r="L16" s="3">
        <f t="shared" si="0"/>
        <v>0</v>
      </c>
      <c r="M16" s="3"/>
      <c r="N16" s="22">
        <f t="shared" si="1"/>
        <v>0</v>
      </c>
      <c r="O16" s="12"/>
      <c r="P16" s="3">
        <f t="shared" si="6"/>
        <v>0</v>
      </c>
      <c r="Q16" s="3"/>
      <c r="R16" s="22"/>
      <c r="S16" s="3"/>
      <c r="T16" s="3">
        <f t="shared" si="7"/>
        <v>0</v>
      </c>
      <c r="U16" s="3"/>
      <c r="V16" s="22"/>
      <c r="W16" s="3"/>
      <c r="X16" s="3">
        <f t="shared" si="2"/>
        <v>0</v>
      </c>
      <c r="Y16" s="3"/>
      <c r="Z16" s="22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collapsed="1" x14ac:dyDescent="0.3">
      <c r="A18" s="10"/>
      <c r="B18" s="25" t="s">
        <v>256</v>
      </c>
      <c r="C18" s="10"/>
      <c r="D18" s="4">
        <f>SUM(OSRRefD16x_0)</f>
        <v>0</v>
      </c>
      <c r="E18" s="4"/>
      <c r="F18" s="11">
        <f t="shared" ref="F18:F19" si="8">IF(D$12=0,0,D18/D$12)</f>
        <v>0</v>
      </c>
      <c r="G18" s="4"/>
      <c r="H18" s="4">
        <f>SUM(OSRRefH16x_0)</f>
        <v>-226.87</v>
      </c>
      <c r="I18" s="4"/>
      <c r="J18" s="11">
        <f t="shared" ref="J18:J19" si="9">IF(H$12=0,0,H18/H$12)</f>
        <v>0</v>
      </c>
      <c r="K18" s="4"/>
      <c r="L18" s="4">
        <f t="shared" ref="L18:L19" si="10">+D18-H18</f>
        <v>226.87</v>
      </c>
      <c r="M18" s="4"/>
      <c r="N18" s="11">
        <f t="shared" ref="N18:N19" si="11">IF(H18=0,0,L18/H18)</f>
        <v>-1</v>
      </c>
      <c r="O18" s="10"/>
      <c r="P18" s="4">
        <f>SUM(OSRRefP16x_0)</f>
        <v>0</v>
      </c>
      <c r="Q18" s="4"/>
      <c r="R18" s="11">
        <f t="shared" ref="R18:R19" si="12">IF(P$12=0,0,P18/P$12)</f>
        <v>0</v>
      </c>
      <c r="S18" s="4"/>
      <c r="T18" s="4">
        <f>SUM(OSRRefT16x_0)</f>
        <v>-226.87</v>
      </c>
      <c r="U18" s="4"/>
      <c r="V18" s="11">
        <f t="shared" ref="V18:V19" si="13">IF(T$12=0,0,T18/T$12)</f>
        <v>0</v>
      </c>
      <c r="W18" s="4"/>
      <c r="X18" s="4">
        <f t="shared" ref="X18:X19" si="14">+P18-T18</f>
        <v>226.87</v>
      </c>
      <c r="Y18" s="4"/>
      <c r="Z18" s="11">
        <f t="shared" ref="Z18:Z19" si="15">IF(T18=0,0,X18/T18)</f>
        <v>-1</v>
      </c>
    </row>
    <row r="19" spans="1:26" s="24" customFormat="1" hidden="1" outlineLevel="1" x14ac:dyDescent="0.3">
      <c r="A19" s="50"/>
      <c r="B19" s="12" t="str">
        <f>CONCATENATE("          ", "5053", " - ", "PURCHASES @ COST-FOOD")</f>
        <v xml:space="preserve">          5053 - PURCHASES @ COST-FOOD</v>
      </c>
      <c r="C19" s="12"/>
      <c r="D19" s="3">
        <v>0</v>
      </c>
      <c r="E19" s="3"/>
      <c r="F19" s="22">
        <f t="shared" si="8"/>
        <v>0</v>
      </c>
      <c r="G19" s="3"/>
      <c r="H19" s="3">
        <v>-226.87</v>
      </c>
      <c r="I19" s="3"/>
      <c r="J19" s="22">
        <f t="shared" si="9"/>
        <v>0</v>
      </c>
      <c r="K19" s="3"/>
      <c r="L19" s="3">
        <f t="shared" si="10"/>
        <v>226.87</v>
      </c>
      <c r="M19" s="3"/>
      <c r="N19" s="22">
        <f t="shared" si="11"/>
        <v>-1</v>
      </c>
      <c r="O19" s="12"/>
      <c r="P19" s="3">
        <v>0</v>
      </c>
      <c r="Q19" s="3"/>
      <c r="R19" s="22">
        <f t="shared" si="12"/>
        <v>0</v>
      </c>
      <c r="S19" s="3"/>
      <c r="T19" s="3">
        <v>-226.87</v>
      </c>
      <c r="U19" s="3"/>
      <c r="V19" s="22">
        <f t="shared" si="13"/>
        <v>0</v>
      </c>
      <c r="W19" s="3"/>
      <c r="X19" s="3">
        <f t="shared" si="14"/>
        <v>226.87</v>
      </c>
      <c r="Y19" s="3"/>
      <c r="Z19" s="22">
        <f t="shared" si="15"/>
        <v>-1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107</v>
      </c>
      <c r="C21" s="26"/>
      <c r="D21" s="20">
        <f>D12-D18</f>
        <v>0</v>
      </c>
      <c r="E21" s="13"/>
      <c r="F21" s="21">
        <f>IF(D$12=0,0,D21/D$12)</f>
        <v>0</v>
      </c>
      <c r="G21" s="13"/>
      <c r="H21" s="20">
        <f>H12-H18</f>
        <v>226.87</v>
      </c>
      <c r="I21" s="13"/>
      <c r="J21" s="21">
        <f>IF(H$12=0,0,H21/H$12)</f>
        <v>0</v>
      </c>
      <c r="K21" s="16"/>
      <c r="L21" s="20">
        <f>+D21-H21</f>
        <v>-226.87</v>
      </c>
      <c r="M21" s="16"/>
      <c r="N21" s="21">
        <f>IF(H21=0,0,L21/H21)</f>
        <v>-1</v>
      </c>
      <c r="O21" s="25"/>
      <c r="P21" s="20">
        <f>P12-P18</f>
        <v>0</v>
      </c>
      <c r="Q21" s="13"/>
      <c r="R21" s="21">
        <f>IF(P$12=0,0,P21/P$12)</f>
        <v>0</v>
      </c>
      <c r="S21" s="13"/>
      <c r="T21" s="20">
        <f>T12-T18</f>
        <v>226.87</v>
      </c>
      <c r="U21" s="13"/>
      <c r="V21" s="21">
        <f>IF(T$12=0,0,T21/T$12)</f>
        <v>0</v>
      </c>
      <c r="W21" s="16"/>
      <c r="X21" s="20">
        <f>+P21-T21</f>
        <v>-226.87</v>
      </c>
      <c r="Y21" s="16"/>
      <c r="Z21" s="21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19">
        <f>SUM(OSRRefD22x_0)</f>
        <v>11929.9</v>
      </c>
      <c r="E23" s="19"/>
      <c r="F23" s="35">
        <f t="shared" ref="F23:F32" si="16">IF(D$12=0,0,D23/D$12)</f>
        <v>0</v>
      </c>
      <c r="G23" s="19"/>
      <c r="H23" s="19">
        <f>SUM(OSRRefH22x_0)</f>
        <v>35275.079999999994</v>
      </c>
      <c r="I23" s="19"/>
      <c r="J23" s="35">
        <f t="shared" ref="J23:J32" si="17">IF(H$12=0,0,H23/H$12)</f>
        <v>0</v>
      </c>
      <c r="K23" s="4"/>
      <c r="L23" s="19">
        <f t="shared" ref="L23:L32" si="18">+D23-H23</f>
        <v>-23345.179999999993</v>
      </c>
      <c r="M23" s="4"/>
      <c r="N23" s="35">
        <f t="shared" ref="N23:N32" si="19">IF(H23=0,0,L23/H23)</f>
        <v>-0.66180374360596761</v>
      </c>
      <c r="O23" s="10"/>
      <c r="P23" s="19">
        <f>SUM(OSRRefP22x_0)</f>
        <v>11929.9</v>
      </c>
      <c r="Q23" s="19"/>
      <c r="R23" s="35">
        <f t="shared" ref="R23:R32" si="20">IF(P$12=0,0,P23/P$12)</f>
        <v>0</v>
      </c>
      <c r="S23" s="19"/>
      <c r="T23" s="19">
        <f>SUM(OSRRefT22x_0)</f>
        <v>35275.079999999994</v>
      </c>
      <c r="U23" s="19"/>
      <c r="V23" s="35">
        <f t="shared" ref="V23:V32" si="21">IF(T$12=0,0,T23/T$12)</f>
        <v>0</v>
      </c>
      <c r="W23" s="4"/>
      <c r="X23" s="19">
        <f t="shared" ref="X23:X32" si="22">+P23-T23</f>
        <v>-23345.179999999993</v>
      </c>
      <c r="Y23" s="4"/>
      <c r="Z23" s="35">
        <f t="shared" ref="Z23:Z32" si="23">IF(T23=0,0,X23/T23)</f>
        <v>-0.66180374360596761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8995.1999999999989</v>
      </c>
      <c r="I24" s="1"/>
      <c r="J24" s="5">
        <f t="shared" si="17"/>
        <v>0</v>
      </c>
      <c r="K24" s="1"/>
      <c r="L24" s="1">
        <f t="shared" si="18"/>
        <v>-8995.1999999999989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8995.1999999999989</v>
      </c>
      <c r="U24" s="1"/>
      <c r="V24" s="5">
        <f t="shared" si="21"/>
        <v>0</v>
      </c>
      <c r="W24" s="1"/>
      <c r="X24" s="1">
        <f t="shared" si="22"/>
        <v>-8995.1999999999989</v>
      </c>
      <c r="Y24" s="1"/>
      <c r="Z24" s="5">
        <f t="shared" si="23"/>
        <v>-1</v>
      </c>
    </row>
    <row r="25" spans="1:26" s="24" customFormat="1" hidden="1" outlineLevel="2" x14ac:dyDescent="0.3">
      <c r="A25" s="27"/>
      <c r="B25" s="12" t="str">
        <f>CONCATENATE("          ", "6111", " - ", "F.I.C.A.")</f>
        <v xml:space="preserve">          6111 - F.I.C.A.</v>
      </c>
      <c r="C25" s="12"/>
      <c r="D25" s="8"/>
      <c r="E25" s="3"/>
      <c r="F25" s="7">
        <f t="shared" si="16"/>
        <v>0</v>
      </c>
      <c r="G25" s="3"/>
      <c r="H25" s="8">
        <v>861.18</v>
      </c>
      <c r="I25" s="3"/>
      <c r="J25" s="7">
        <f t="shared" si="17"/>
        <v>0</v>
      </c>
      <c r="K25" s="3"/>
      <c r="L25" s="8">
        <f t="shared" si="18"/>
        <v>-861.18</v>
      </c>
      <c r="M25" s="3"/>
      <c r="N25" s="7">
        <f t="shared" si="19"/>
        <v>-1</v>
      </c>
      <c r="O25" s="12"/>
      <c r="P25" s="8"/>
      <c r="Q25" s="3"/>
      <c r="R25" s="7">
        <f t="shared" si="20"/>
        <v>0</v>
      </c>
      <c r="S25" s="3"/>
      <c r="T25" s="8">
        <v>861.18</v>
      </c>
      <c r="U25" s="3"/>
      <c r="V25" s="7">
        <f t="shared" si="21"/>
        <v>0</v>
      </c>
      <c r="W25" s="3"/>
      <c r="X25" s="8">
        <f t="shared" si="22"/>
        <v>-861.18</v>
      </c>
      <c r="Y25" s="3"/>
      <c r="Z25" s="7">
        <f t="shared" si="23"/>
        <v>-1</v>
      </c>
    </row>
    <row r="26" spans="1:26" s="24" customFormat="1" hidden="1" outlineLevel="2" x14ac:dyDescent="0.3">
      <c r="A26" s="27"/>
      <c r="B26" s="12" t="str">
        <f>CONCATENATE("          ", "6112", " - ", "COMPENSATION INSURANCE")</f>
        <v xml:space="preserve">          6112 - COMPENSATION INSURANCE</v>
      </c>
      <c r="C26" s="12"/>
      <c r="D26" s="8"/>
      <c r="E26" s="3"/>
      <c r="F26" s="7">
        <f t="shared" si="16"/>
        <v>0</v>
      </c>
      <c r="G26" s="3"/>
      <c r="H26" s="8">
        <v>169.78</v>
      </c>
      <c r="I26" s="3"/>
      <c r="J26" s="7">
        <f t="shared" si="17"/>
        <v>0</v>
      </c>
      <c r="K26" s="3"/>
      <c r="L26" s="8">
        <f t="shared" si="18"/>
        <v>-169.78</v>
      </c>
      <c r="M26" s="3"/>
      <c r="N26" s="7">
        <f t="shared" si="19"/>
        <v>-1</v>
      </c>
      <c r="O26" s="12"/>
      <c r="P26" s="8"/>
      <c r="Q26" s="3"/>
      <c r="R26" s="7">
        <f t="shared" si="20"/>
        <v>0</v>
      </c>
      <c r="S26" s="3"/>
      <c r="T26" s="8">
        <v>169.78</v>
      </c>
      <c r="U26" s="3"/>
      <c r="V26" s="7">
        <f t="shared" si="21"/>
        <v>0</v>
      </c>
      <c r="W26" s="3"/>
      <c r="X26" s="8">
        <f t="shared" si="22"/>
        <v>-169.78</v>
      </c>
      <c r="Y26" s="3"/>
      <c r="Z26" s="7">
        <f t="shared" si="23"/>
        <v>-1</v>
      </c>
    </row>
    <row r="27" spans="1:26" s="24" customFormat="1" hidden="1" outlineLevel="2" x14ac:dyDescent="0.3">
      <c r="A27" s="27"/>
      <c r="B27" s="12" t="str">
        <f>CONCATENATE("          ", "6113", " - ", "GROUP INSURANCE")</f>
        <v xml:space="preserve">          6113 - GROUP INSURANCE</v>
      </c>
      <c r="C27" s="12"/>
      <c r="D27" s="8"/>
      <c r="E27" s="3"/>
      <c r="F27" s="7">
        <f t="shared" si="16"/>
        <v>0</v>
      </c>
      <c r="G27" s="3"/>
      <c r="H27" s="8">
        <v>4620.57</v>
      </c>
      <c r="I27" s="3"/>
      <c r="J27" s="7">
        <f t="shared" si="17"/>
        <v>0</v>
      </c>
      <c r="K27" s="3"/>
      <c r="L27" s="8">
        <f t="shared" si="18"/>
        <v>-4620.57</v>
      </c>
      <c r="M27" s="3"/>
      <c r="N27" s="7">
        <f t="shared" si="19"/>
        <v>-1</v>
      </c>
      <c r="O27" s="12"/>
      <c r="P27" s="8"/>
      <c r="Q27" s="3"/>
      <c r="R27" s="7">
        <f t="shared" si="20"/>
        <v>0</v>
      </c>
      <c r="S27" s="3"/>
      <c r="T27" s="8">
        <v>4620.57</v>
      </c>
      <c r="U27" s="3"/>
      <c r="V27" s="7">
        <f t="shared" si="21"/>
        <v>0</v>
      </c>
      <c r="W27" s="3"/>
      <c r="X27" s="8">
        <f t="shared" si="22"/>
        <v>-4620.57</v>
      </c>
      <c r="Y27" s="3"/>
      <c r="Z27" s="7">
        <f t="shared" si="23"/>
        <v>-1</v>
      </c>
    </row>
    <row r="28" spans="1:26" s="24" customFormat="1" hidden="1" outlineLevel="2" x14ac:dyDescent="0.3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8"/>
      <c r="E28" s="3"/>
      <c r="F28" s="7">
        <f t="shared" si="16"/>
        <v>0</v>
      </c>
      <c r="G28" s="3"/>
      <c r="H28" s="8">
        <v>23.86</v>
      </c>
      <c r="I28" s="3"/>
      <c r="J28" s="7">
        <f t="shared" si="17"/>
        <v>0</v>
      </c>
      <c r="K28" s="3"/>
      <c r="L28" s="8">
        <f t="shared" si="18"/>
        <v>-23.86</v>
      </c>
      <c r="M28" s="3"/>
      <c r="N28" s="7">
        <f t="shared" si="19"/>
        <v>-1</v>
      </c>
      <c r="O28" s="12"/>
      <c r="P28" s="8"/>
      <c r="Q28" s="3"/>
      <c r="R28" s="7">
        <f t="shared" si="20"/>
        <v>0</v>
      </c>
      <c r="S28" s="3"/>
      <c r="T28" s="8">
        <v>23.86</v>
      </c>
      <c r="U28" s="3"/>
      <c r="V28" s="7">
        <f t="shared" si="21"/>
        <v>0</v>
      </c>
      <c r="W28" s="3"/>
      <c r="X28" s="8">
        <f t="shared" si="22"/>
        <v>-23.86</v>
      </c>
      <c r="Y28" s="3"/>
      <c r="Z28" s="7">
        <f t="shared" si="23"/>
        <v>-1</v>
      </c>
    </row>
    <row r="29" spans="1:26" s="24" customFormat="1" hidden="1" outlineLevel="2" x14ac:dyDescent="0.3">
      <c r="A29" s="27"/>
      <c r="B29" s="12" t="str">
        <f>CONCATENATE("          ", "6115", " - ", "P.E.R.S.")</f>
        <v xml:space="preserve">          6115 - P.E.R.S.</v>
      </c>
      <c r="C29" s="12"/>
      <c r="D29" s="8"/>
      <c r="E29" s="3"/>
      <c r="F29" s="7">
        <f t="shared" si="16"/>
        <v>0</v>
      </c>
      <c r="G29" s="3"/>
      <c r="H29" s="8">
        <v>1862.33</v>
      </c>
      <c r="I29" s="3"/>
      <c r="J29" s="7">
        <f t="shared" si="17"/>
        <v>0</v>
      </c>
      <c r="K29" s="3"/>
      <c r="L29" s="8">
        <f t="shared" si="18"/>
        <v>-1862.33</v>
      </c>
      <c r="M29" s="3"/>
      <c r="N29" s="7">
        <f t="shared" si="19"/>
        <v>-1</v>
      </c>
      <c r="O29" s="12"/>
      <c r="P29" s="8"/>
      <c r="Q29" s="3"/>
      <c r="R29" s="7">
        <f t="shared" si="20"/>
        <v>0</v>
      </c>
      <c r="S29" s="3"/>
      <c r="T29" s="8">
        <v>1862.33</v>
      </c>
      <c r="U29" s="3"/>
      <c r="V29" s="7">
        <f t="shared" si="21"/>
        <v>0</v>
      </c>
      <c r="W29" s="3"/>
      <c r="X29" s="8">
        <f t="shared" si="22"/>
        <v>-1862.33</v>
      </c>
      <c r="Y29" s="3"/>
      <c r="Z29" s="7">
        <f t="shared" si="23"/>
        <v>-1</v>
      </c>
    </row>
    <row r="30" spans="1:26" s="24" customFormat="1" hidden="1" outlineLevel="2" x14ac:dyDescent="0.3">
      <c r="A30" s="27"/>
      <c r="B30" s="12" t="str">
        <f>CONCATENATE("          ", "6118", " - ", "VACATION")</f>
        <v xml:space="preserve">          6118 - VACATION</v>
      </c>
      <c r="C30" s="12"/>
      <c r="D30" s="8"/>
      <c r="E30" s="3"/>
      <c r="F30" s="7">
        <f t="shared" si="16"/>
        <v>0</v>
      </c>
      <c r="G30" s="3"/>
      <c r="H30" s="8">
        <v>798.88</v>
      </c>
      <c r="I30" s="3"/>
      <c r="J30" s="7">
        <f t="shared" si="17"/>
        <v>0</v>
      </c>
      <c r="K30" s="3"/>
      <c r="L30" s="8">
        <f t="shared" si="18"/>
        <v>-798.88</v>
      </c>
      <c r="M30" s="3"/>
      <c r="N30" s="7">
        <f t="shared" si="19"/>
        <v>-1</v>
      </c>
      <c r="O30" s="12"/>
      <c r="P30" s="8"/>
      <c r="Q30" s="3"/>
      <c r="R30" s="7">
        <f t="shared" si="20"/>
        <v>0</v>
      </c>
      <c r="S30" s="3"/>
      <c r="T30" s="8">
        <v>798.88</v>
      </c>
      <c r="U30" s="3"/>
      <c r="V30" s="7">
        <f t="shared" si="21"/>
        <v>0</v>
      </c>
      <c r="W30" s="3"/>
      <c r="X30" s="8">
        <f t="shared" si="22"/>
        <v>-798.88</v>
      </c>
      <c r="Y30" s="3"/>
      <c r="Z30" s="7">
        <f t="shared" si="23"/>
        <v>-1</v>
      </c>
    </row>
    <row r="31" spans="1:26" s="24" customFormat="1" hidden="1" outlineLevel="2" x14ac:dyDescent="0.3">
      <c r="A31" s="27"/>
      <c r="B31" s="12" t="str">
        <f>CONCATENATE("          ", "6119", " - ", "SICK LEAVE")</f>
        <v xml:space="preserve">          6119 - SICK LEAVE</v>
      </c>
      <c r="C31" s="12"/>
      <c r="D31" s="8"/>
      <c r="E31" s="3"/>
      <c r="F31" s="7">
        <f t="shared" si="16"/>
        <v>0</v>
      </c>
      <c r="G31" s="3"/>
      <c r="H31" s="8">
        <v>652.62</v>
      </c>
      <c r="I31" s="3"/>
      <c r="J31" s="7">
        <f t="shared" si="17"/>
        <v>0</v>
      </c>
      <c r="K31" s="3"/>
      <c r="L31" s="8">
        <f t="shared" si="18"/>
        <v>-652.62</v>
      </c>
      <c r="M31" s="3"/>
      <c r="N31" s="7">
        <f t="shared" si="19"/>
        <v>-1</v>
      </c>
      <c r="O31" s="12"/>
      <c r="P31" s="8"/>
      <c r="Q31" s="3"/>
      <c r="R31" s="7">
        <f t="shared" si="20"/>
        <v>0</v>
      </c>
      <c r="S31" s="3"/>
      <c r="T31" s="8">
        <v>652.62</v>
      </c>
      <c r="U31" s="3"/>
      <c r="V31" s="7">
        <f t="shared" si="21"/>
        <v>0</v>
      </c>
      <c r="W31" s="3"/>
      <c r="X31" s="8">
        <f t="shared" si="22"/>
        <v>-652.62</v>
      </c>
      <c r="Y31" s="3"/>
      <c r="Z31" s="7">
        <f t="shared" si="23"/>
        <v>-1</v>
      </c>
    </row>
    <row r="32" spans="1:26" s="24" customFormat="1" hidden="1" outlineLevel="2" x14ac:dyDescent="0.3">
      <c r="A32" s="27"/>
      <c r="B32" s="12" t="str">
        <f>CONCATENATE("          ", "6156", " - ", "EMPLOYEE MEALS")</f>
        <v xml:space="preserve">          6156 - EMPLOYEE MEALS</v>
      </c>
      <c r="C32" s="12"/>
      <c r="D32" s="8"/>
      <c r="E32" s="3"/>
      <c r="F32" s="7">
        <f t="shared" si="16"/>
        <v>0</v>
      </c>
      <c r="G32" s="3"/>
      <c r="H32" s="8">
        <v>5.98</v>
      </c>
      <c r="I32" s="3"/>
      <c r="J32" s="7">
        <f t="shared" si="17"/>
        <v>0</v>
      </c>
      <c r="K32" s="3"/>
      <c r="L32" s="8">
        <f t="shared" si="18"/>
        <v>-5.98</v>
      </c>
      <c r="M32" s="3"/>
      <c r="N32" s="7">
        <f t="shared" si="19"/>
        <v>-1</v>
      </c>
      <c r="O32" s="12"/>
      <c r="P32" s="8"/>
      <c r="Q32" s="3"/>
      <c r="R32" s="7">
        <f t="shared" si="20"/>
        <v>0</v>
      </c>
      <c r="S32" s="3"/>
      <c r="T32" s="8">
        <v>5.98</v>
      </c>
      <c r="U32" s="3"/>
      <c r="V32" s="7">
        <f t="shared" si="21"/>
        <v>0</v>
      </c>
      <c r="W32" s="3"/>
      <c r="X32" s="8">
        <f t="shared" si="22"/>
        <v>-5.98</v>
      </c>
      <c r="Y32" s="3"/>
      <c r="Z32" s="7">
        <f t="shared" si="23"/>
        <v>-1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39" si="24">IF(D$12=0,0,D33/D$12)</f>
        <v>0</v>
      </c>
      <c r="G33" s="1"/>
      <c r="H33" s="1">
        <f>SUM(OSRRefH22_1x_0)</f>
        <v>11477.03</v>
      </c>
      <c r="I33" s="1"/>
      <c r="J33" s="5">
        <f t="shared" ref="J33:J39" si="25">IF(H$12=0,0,H33/H$12)</f>
        <v>0</v>
      </c>
      <c r="K33" s="1"/>
      <c r="L33" s="1">
        <f t="shared" ref="L33:L39" si="26">+D33-H33</f>
        <v>-11477.03</v>
      </c>
      <c r="M33" s="1"/>
      <c r="N33" s="5">
        <f t="shared" ref="N33:N39" si="27">IF(H33=0,0,L33/H33)</f>
        <v>-1</v>
      </c>
      <c r="O33" s="14"/>
      <c r="P33" s="1">
        <f>SUM(OSRRefP22_1x_0)</f>
        <v>0</v>
      </c>
      <c r="Q33" s="1"/>
      <c r="R33" s="5">
        <f t="shared" ref="R33:R39" si="28">IF(P$12=0,0,P33/P$12)</f>
        <v>0</v>
      </c>
      <c r="S33" s="1"/>
      <c r="T33" s="1">
        <f>SUM(OSRRefT22_1x_0)</f>
        <v>11477.03</v>
      </c>
      <c r="U33" s="1"/>
      <c r="V33" s="5">
        <f t="shared" ref="V33:V39" si="29">IF(T$12=0,0,T33/T$12)</f>
        <v>0</v>
      </c>
      <c r="W33" s="1"/>
      <c r="X33" s="1">
        <f t="shared" ref="X33:X39" si="30">+P33-T33</f>
        <v>-11477.03</v>
      </c>
      <c r="Y33" s="1"/>
      <c r="Z33" s="5">
        <f t="shared" ref="Z33:Z39" si="31">IF(T33=0,0,X33/T33)</f>
        <v>-1</v>
      </c>
    </row>
    <row r="34" spans="1:26" s="24" customFormat="1" hidden="1" outlineLevel="2" x14ac:dyDescent="0.3">
      <c r="A34" s="27"/>
      <c r="B34" s="12" t="str">
        <f>CONCATENATE("          ", "6002", " - ", "STAFF SALARIES")</f>
        <v xml:space="preserve">          6002 - STAFF SALARIES</v>
      </c>
      <c r="C34" s="12"/>
      <c r="D34" s="8"/>
      <c r="E34" s="3"/>
      <c r="F34" s="7">
        <f t="shared" si="24"/>
        <v>0</v>
      </c>
      <c r="G34" s="3"/>
      <c r="H34" s="8">
        <v>11477.03</v>
      </c>
      <c r="I34" s="3"/>
      <c r="J34" s="7">
        <f t="shared" si="25"/>
        <v>0</v>
      </c>
      <c r="K34" s="3"/>
      <c r="L34" s="8">
        <f t="shared" si="26"/>
        <v>-11477.03</v>
      </c>
      <c r="M34" s="3"/>
      <c r="N34" s="7">
        <f t="shared" si="27"/>
        <v>-1</v>
      </c>
      <c r="O34" s="12"/>
      <c r="P34" s="8"/>
      <c r="Q34" s="3"/>
      <c r="R34" s="7">
        <f t="shared" si="28"/>
        <v>0</v>
      </c>
      <c r="S34" s="3"/>
      <c r="T34" s="8">
        <v>11477.03</v>
      </c>
      <c r="U34" s="3"/>
      <c r="V34" s="7">
        <f t="shared" si="29"/>
        <v>0</v>
      </c>
      <c r="W34" s="3"/>
      <c r="X34" s="8">
        <f t="shared" si="30"/>
        <v>-11477.03</v>
      </c>
      <c r="Y34" s="3"/>
      <c r="Z34" s="7">
        <f t="shared" si="31"/>
        <v>-1</v>
      </c>
    </row>
    <row r="35" spans="1:26" s="29" customFormat="1" outlineLevel="1" collapsed="1" x14ac:dyDescent="0.3">
      <c r="A35" s="28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75.459999999999994</v>
      </c>
      <c r="E35" s="1"/>
      <c r="F35" s="5">
        <f t="shared" si="24"/>
        <v>0</v>
      </c>
      <c r="G35" s="1"/>
      <c r="H35" s="1">
        <f>SUM(OSRRefH22_2x_0)</f>
        <v>60</v>
      </c>
      <c r="I35" s="1"/>
      <c r="J35" s="5">
        <f t="shared" si="25"/>
        <v>0</v>
      </c>
      <c r="K35" s="1"/>
      <c r="L35" s="1">
        <f t="shared" si="26"/>
        <v>15.459999999999994</v>
      </c>
      <c r="M35" s="1"/>
      <c r="N35" s="5">
        <f t="shared" si="27"/>
        <v>0.25766666666666654</v>
      </c>
      <c r="O35" s="14"/>
      <c r="P35" s="1">
        <f>SUM(OSRRefP22_2x_0)</f>
        <v>75.459999999999994</v>
      </c>
      <c r="Q35" s="1"/>
      <c r="R35" s="5">
        <f t="shared" si="28"/>
        <v>0</v>
      </c>
      <c r="S35" s="1"/>
      <c r="T35" s="1">
        <f>SUM(OSRRefT22_2x_0)</f>
        <v>60</v>
      </c>
      <c r="U35" s="1"/>
      <c r="V35" s="5">
        <f t="shared" si="29"/>
        <v>0</v>
      </c>
      <c r="W35" s="1"/>
      <c r="X35" s="1">
        <f t="shared" si="30"/>
        <v>15.459999999999994</v>
      </c>
      <c r="Y35" s="1"/>
      <c r="Z35" s="5">
        <f t="shared" si="31"/>
        <v>0.25766666666666654</v>
      </c>
    </row>
    <row r="36" spans="1:26" s="24" customFormat="1" hidden="1" outlineLevel="2" x14ac:dyDescent="0.3">
      <c r="A36" s="27"/>
      <c r="B36" s="12" t="str">
        <f>CONCATENATE("          ", "6381", " - ", "BANK/CREDIT CARD FEES")</f>
        <v xml:space="preserve">          6381 - BANK/CREDIT CARD FEES</v>
      </c>
      <c r="C36" s="12"/>
      <c r="D36" s="8">
        <v>75.459999999999994</v>
      </c>
      <c r="E36" s="3"/>
      <c r="F36" s="7">
        <f t="shared" si="24"/>
        <v>0</v>
      </c>
      <c r="G36" s="3"/>
      <c r="H36" s="8">
        <v>60</v>
      </c>
      <c r="I36" s="3"/>
      <c r="J36" s="7">
        <f t="shared" si="25"/>
        <v>0</v>
      </c>
      <c r="K36" s="3"/>
      <c r="L36" s="8">
        <f t="shared" si="26"/>
        <v>15.459999999999994</v>
      </c>
      <c r="M36" s="3"/>
      <c r="N36" s="7">
        <f t="shared" si="27"/>
        <v>0.25766666666666654</v>
      </c>
      <c r="O36" s="12"/>
      <c r="P36" s="8">
        <v>75.459999999999994</v>
      </c>
      <c r="Q36" s="3"/>
      <c r="R36" s="7">
        <f t="shared" si="28"/>
        <v>0</v>
      </c>
      <c r="S36" s="3"/>
      <c r="T36" s="8">
        <v>60</v>
      </c>
      <c r="U36" s="3"/>
      <c r="V36" s="7">
        <f t="shared" si="29"/>
        <v>0</v>
      </c>
      <c r="W36" s="3"/>
      <c r="X36" s="8">
        <f t="shared" si="30"/>
        <v>15.459999999999994</v>
      </c>
      <c r="Y36" s="3"/>
      <c r="Z36" s="7">
        <f t="shared" si="31"/>
        <v>0.25766666666666654</v>
      </c>
    </row>
    <row r="37" spans="1:26" s="29" customFormat="1" outlineLevel="1" collapsed="1" x14ac:dyDescent="0.3">
      <c r="A37" s="28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7135.5400000000009</v>
      </c>
      <c r="E37" s="1"/>
      <c r="F37" s="5">
        <f t="shared" si="24"/>
        <v>0</v>
      </c>
      <c r="G37" s="1"/>
      <c r="H37" s="1">
        <f>SUM(OSRRefH22_3x_0)</f>
        <v>8990.73</v>
      </c>
      <c r="I37" s="1"/>
      <c r="J37" s="5">
        <f t="shared" si="25"/>
        <v>0</v>
      </c>
      <c r="K37" s="1"/>
      <c r="L37" s="1">
        <f t="shared" si="26"/>
        <v>-1855.1899999999987</v>
      </c>
      <c r="M37" s="1"/>
      <c r="N37" s="5">
        <f t="shared" si="27"/>
        <v>-0.20634475732226401</v>
      </c>
      <c r="O37" s="14"/>
      <c r="P37" s="1">
        <f>SUM(OSRRefP22_3x_0)</f>
        <v>7135.5400000000009</v>
      </c>
      <c r="Q37" s="1"/>
      <c r="R37" s="5">
        <f t="shared" si="28"/>
        <v>0</v>
      </c>
      <c r="S37" s="1"/>
      <c r="T37" s="1">
        <f>SUM(OSRRefT22_3x_0)</f>
        <v>8990.73</v>
      </c>
      <c r="U37" s="1"/>
      <c r="V37" s="5">
        <f t="shared" si="29"/>
        <v>0</v>
      </c>
      <c r="W37" s="1"/>
      <c r="X37" s="1">
        <f t="shared" si="30"/>
        <v>-1855.1899999999987</v>
      </c>
      <c r="Y37" s="1"/>
      <c r="Z37" s="5">
        <f t="shared" si="31"/>
        <v>-0.20634475732226401</v>
      </c>
    </row>
    <row r="38" spans="1:26" s="24" customFormat="1" hidden="1" outlineLevel="2" x14ac:dyDescent="0.3">
      <c r="A38" s="27"/>
      <c r="B38" s="12" t="str">
        <f>CONCATENATE("          ", "6321", " - ", "BUILDING DEPRECIATION")</f>
        <v xml:space="preserve">          6321 - BUILDING DEPRECIATION</v>
      </c>
      <c r="C38" s="12"/>
      <c r="D38" s="8">
        <v>5080.51</v>
      </c>
      <c r="E38" s="3"/>
      <c r="F38" s="7">
        <f t="shared" si="24"/>
        <v>0</v>
      </c>
      <c r="G38" s="3"/>
      <c r="H38" s="8">
        <v>5080.51</v>
      </c>
      <c r="I38" s="3"/>
      <c r="J38" s="7">
        <f t="shared" si="25"/>
        <v>0</v>
      </c>
      <c r="K38" s="3"/>
      <c r="L38" s="8">
        <f t="shared" si="26"/>
        <v>0</v>
      </c>
      <c r="M38" s="3"/>
      <c r="N38" s="7">
        <f t="shared" si="27"/>
        <v>0</v>
      </c>
      <c r="O38" s="12"/>
      <c r="P38" s="8">
        <v>5080.51</v>
      </c>
      <c r="Q38" s="3"/>
      <c r="R38" s="7">
        <f t="shared" si="28"/>
        <v>0</v>
      </c>
      <c r="S38" s="3"/>
      <c r="T38" s="8">
        <v>5080.51</v>
      </c>
      <c r="U38" s="3"/>
      <c r="V38" s="7">
        <f t="shared" si="29"/>
        <v>0</v>
      </c>
      <c r="W38" s="3"/>
      <c r="X38" s="8">
        <f t="shared" si="30"/>
        <v>0</v>
      </c>
      <c r="Y38" s="3"/>
      <c r="Z38" s="7">
        <f t="shared" si="31"/>
        <v>0</v>
      </c>
    </row>
    <row r="39" spans="1:26" s="24" customFormat="1" hidden="1" outlineLevel="2" x14ac:dyDescent="0.3">
      <c r="A39" s="27"/>
      <c r="B39" s="12" t="str">
        <f>CONCATENATE("          ", "6322", " - ", "EQUIPMENT DEPRECIATION EXPENSE")</f>
        <v xml:space="preserve">          6322 - EQUIPMENT DEPRECIATION EXPENSE</v>
      </c>
      <c r="C39" s="12"/>
      <c r="D39" s="8">
        <v>2055.0300000000002</v>
      </c>
      <c r="E39" s="3"/>
      <c r="F39" s="7">
        <f t="shared" si="24"/>
        <v>0</v>
      </c>
      <c r="G39" s="3"/>
      <c r="H39" s="8">
        <v>3910.22</v>
      </c>
      <c r="I39" s="3"/>
      <c r="J39" s="7">
        <f t="shared" si="25"/>
        <v>0</v>
      </c>
      <c r="K39" s="3"/>
      <c r="L39" s="8">
        <f t="shared" si="26"/>
        <v>-1855.1899999999996</v>
      </c>
      <c r="M39" s="3"/>
      <c r="N39" s="7">
        <f t="shared" si="27"/>
        <v>-0.47444645058334306</v>
      </c>
      <c r="O39" s="12"/>
      <c r="P39" s="8">
        <v>2055.0300000000002</v>
      </c>
      <c r="Q39" s="3"/>
      <c r="R39" s="7">
        <f t="shared" si="28"/>
        <v>0</v>
      </c>
      <c r="S39" s="3"/>
      <c r="T39" s="8">
        <v>3910.22</v>
      </c>
      <c r="U39" s="3"/>
      <c r="V39" s="7">
        <f t="shared" si="29"/>
        <v>0</v>
      </c>
      <c r="W39" s="3"/>
      <c r="X39" s="8">
        <f t="shared" si="30"/>
        <v>-1855.1899999999996</v>
      </c>
      <c r="Y39" s="3"/>
      <c r="Z39" s="7">
        <f t="shared" si="31"/>
        <v>-0.47444645058334306</v>
      </c>
    </row>
    <row r="40" spans="1:26" s="29" customFormat="1" outlineLevel="1" collapsed="1" x14ac:dyDescent="0.3">
      <c r="A40" s="28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SUM(OSRRefD22_4x_0)</f>
        <v>0</v>
      </c>
      <c r="E40" s="1"/>
      <c r="F40" s="5">
        <f t="shared" ref="F40:F50" si="32">IF(D$12=0,0,D40/D$12)</f>
        <v>0</v>
      </c>
      <c r="G40" s="1"/>
      <c r="H40" s="1">
        <f>SUM(OSRRefH22_4x_0)</f>
        <v>1509.1</v>
      </c>
      <c r="I40" s="1"/>
      <c r="J40" s="5">
        <f t="shared" ref="J40:J50" si="33">IF(H$12=0,0,H40/H$12)</f>
        <v>0</v>
      </c>
      <c r="K40" s="1"/>
      <c r="L40" s="1">
        <f t="shared" ref="L40:L50" si="34">+D40-H40</f>
        <v>-1509.1</v>
      </c>
      <c r="M40" s="1"/>
      <c r="N40" s="5">
        <f t="shared" ref="N40:N50" si="35">IF(H40=0,0,L40/H40)</f>
        <v>-1</v>
      </c>
      <c r="O40" s="14"/>
      <c r="P40" s="1">
        <f>SUM(OSRRefP22_4x_0)</f>
        <v>0</v>
      </c>
      <c r="Q40" s="1"/>
      <c r="R40" s="5">
        <f t="shared" ref="R40:R50" si="36">IF(P$12=0,0,P40/P$12)</f>
        <v>0</v>
      </c>
      <c r="S40" s="1"/>
      <c r="T40" s="1">
        <f>SUM(OSRRefT22_4x_0)</f>
        <v>1509.1</v>
      </c>
      <c r="U40" s="1"/>
      <c r="V40" s="5">
        <f t="shared" ref="V40:V50" si="37">IF(T$12=0,0,T40/T$12)</f>
        <v>0</v>
      </c>
      <c r="W40" s="1"/>
      <c r="X40" s="1">
        <f t="shared" ref="X40:X50" si="38">+P40-T40</f>
        <v>-1509.1</v>
      </c>
      <c r="Y40" s="1"/>
      <c r="Z40" s="5">
        <f t="shared" ref="Z40:Z50" si="39">IF(T40=0,0,X40/T40)</f>
        <v>-1</v>
      </c>
    </row>
    <row r="41" spans="1:26" s="24" customFormat="1" hidden="1" outlineLevel="2" x14ac:dyDescent="0.3">
      <c r="A41" s="27"/>
      <c r="B41" s="12" t="str">
        <f>CONCATENATE("          ", "6279", " - ", "GENERAL EXPENSE")</f>
        <v xml:space="preserve">          6279 - GENERAL EXPENSE</v>
      </c>
      <c r="C41" s="12"/>
      <c r="D41" s="8"/>
      <c r="E41" s="3"/>
      <c r="F41" s="7">
        <f t="shared" si="32"/>
        <v>0</v>
      </c>
      <c r="G41" s="3"/>
      <c r="H41" s="8">
        <v>1509.1</v>
      </c>
      <c r="I41" s="3"/>
      <c r="J41" s="7">
        <f t="shared" si="33"/>
        <v>0</v>
      </c>
      <c r="K41" s="3"/>
      <c r="L41" s="8">
        <f t="shared" si="34"/>
        <v>-1509.1</v>
      </c>
      <c r="M41" s="3"/>
      <c r="N41" s="7">
        <f t="shared" si="35"/>
        <v>-1</v>
      </c>
      <c r="O41" s="12"/>
      <c r="P41" s="8"/>
      <c r="Q41" s="3"/>
      <c r="R41" s="7">
        <f t="shared" si="36"/>
        <v>0</v>
      </c>
      <c r="S41" s="3"/>
      <c r="T41" s="8">
        <v>1509.1</v>
      </c>
      <c r="U41" s="3"/>
      <c r="V41" s="7">
        <f t="shared" si="37"/>
        <v>0</v>
      </c>
      <c r="W41" s="3"/>
      <c r="X41" s="8">
        <f t="shared" si="38"/>
        <v>-1509.1</v>
      </c>
      <c r="Y41" s="3"/>
      <c r="Z41" s="7">
        <f t="shared" si="39"/>
        <v>-1</v>
      </c>
    </row>
    <row r="42" spans="1:26" s="29" customFormat="1" outlineLevel="1" collapsed="1" x14ac:dyDescent="0.3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331.01</v>
      </c>
      <c r="E42" s="1"/>
      <c r="F42" s="5">
        <f t="shared" si="32"/>
        <v>0</v>
      </c>
      <c r="G42" s="1"/>
      <c r="H42" s="1">
        <f>SUM(OSRRefH22_5x_0)</f>
        <v>243.54</v>
      </c>
      <c r="I42" s="1"/>
      <c r="J42" s="5">
        <f t="shared" si="33"/>
        <v>0</v>
      </c>
      <c r="K42" s="1"/>
      <c r="L42" s="1">
        <f t="shared" si="34"/>
        <v>87.47</v>
      </c>
      <c r="M42" s="1"/>
      <c r="N42" s="5">
        <f t="shared" si="35"/>
        <v>0.35916071281924944</v>
      </c>
      <c r="O42" s="14"/>
      <c r="P42" s="1">
        <f>SUM(OSRRefP22_5x_0)</f>
        <v>331.01</v>
      </c>
      <c r="Q42" s="1"/>
      <c r="R42" s="5">
        <f t="shared" si="36"/>
        <v>0</v>
      </c>
      <c r="S42" s="1"/>
      <c r="T42" s="1">
        <f>SUM(OSRRefT22_5x_0)</f>
        <v>243.54</v>
      </c>
      <c r="U42" s="1"/>
      <c r="V42" s="5">
        <f t="shared" si="37"/>
        <v>0</v>
      </c>
      <c r="W42" s="1"/>
      <c r="X42" s="1">
        <f t="shared" si="38"/>
        <v>87.47</v>
      </c>
      <c r="Y42" s="1"/>
      <c r="Z42" s="5">
        <f t="shared" si="39"/>
        <v>0.35916071281924944</v>
      </c>
    </row>
    <row r="43" spans="1:26" s="24" customFormat="1" hidden="1" outlineLevel="2" x14ac:dyDescent="0.3">
      <c r="A43" s="27"/>
      <c r="B43" s="12" t="str">
        <f>CONCATENATE("          ", "6314", " - ", "LIABILITY INSURANCE")</f>
        <v xml:space="preserve">          6314 - LIABILITY INSURANCE</v>
      </c>
      <c r="C43" s="12"/>
      <c r="D43" s="8">
        <v>331.01</v>
      </c>
      <c r="E43" s="3"/>
      <c r="F43" s="7">
        <f t="shared" si="32"/>
        <v>0</v>
      </c>
      <c r="G43" s="3"/>
      <c r="H43" s="8">
        <v>243.54</v>
      </c>
      <c r="I43" s="3"/>
      <c r="J43" s="7">
        <f t="shared" si="33"/>
        <v>0</v>
      </c>
      <c r="K43" s="3"/>
      <c r="L43" s="8">
        <f t="shared" si="34"/>
        <v>87.47</v>
      </c>
      <c r="M43" s="3"/>
      <c r="N43" s="7">
        <f t="shared" si="35"/>
        <v>0.35916071281924944</v>
      </c>
      <c r="O43" s="12"/>
      <c r="P43" s="8">
        <v>331.01</v>
      </c>
      <c r="Q43" s="3"/>
      <c r="R43" s="7">
        <f t="shared" si="36"/>
        <v>0</v>
      </c>
      <c r="S43" s="3"/>
      <c r="T43" s="8">
        <v>243.54</v>
      </c>
      <c r="U43" s="3"/>
      <c r="V43" s="7">
        <f t="shared" si="37"/>
        <v>0</v>
      </c>
      <c r="W43" s="3"/>
      <c r="X43" s="8">
        <f t="shared" si="38"/>
        <v>87.47</v>
      </c>
      <c r="Y43" s="3"/>
      <c r="Z43" s="7">
        <f t="shared" si="39"/>
        <v>0.35916071281924944</v>
      </c>
    </row>
    <row r="44" spans="1:26" s="29" customFormat="1" outlineLevel="1" collapsed="1" x14ac:dyDescent="0.3">
      <c r="A44" s="28"/>
      <c r="B44" s="14" t="str">
        <f>CONCATENATE("     ","Interest                                          ")</f>
        <v xml:space="preserve">     Interest                                          </v>
      </c>
      <c r="C44" s="14"/>
      <c r="D44" s="1">
        <f>SUM(OSRRefD22_6x_0)</f>
        <v>3905</v>
      </c>
      <c r="E44" s="1"/>
      <c r="F44" s="5">
        <f t="shared" si="32"/>
        <v>0</v>
      </c>
      <c r="G44" s="1"/>
      <c r="H44" s="1">
        <f>SUM(OSRRefH22_6x_0)</f>
        <v>4044</v>
      </c>
      <c r="I44" s="1"/>
      <c r="J44" s="5">
        <f t="shared" si="33"/>
        <v>0</v>
      </c>
      <c r="K44" s="1"/>
      <c r="L44" s="1">
        <f t="shared" si="34"/>
        <v>-139</v>
      </c>
      <c r="M44" s="1"/>
      <c r="N44" s="5">
        <f t="shared" si="35"/>
        <v>-3.4371909000989118E-2</v>
      </c>
      <c r="O44" s="14"/>
      <c r="P44" s="1">
        <f>SUM(OSRRefP22_6x_0)</f>
        <v>3905</v>
      </c>
      <c r="Q44" s="1"/>
      <c r="R44" s="5">
        <f t="shared" si="36"/>
        <v>0</v>
      </c>
      <c r="S44" s="1"/>
      <c r="T44" s="1">
        <f>SUM(OSRRefT22_6x_0)</f>
        <v>4044</v>
      </c>
      <c r="U44" s="1"/>
      <c r="V44" s="5">
        <f t="shared" si="37"/>
        <v>0</v>
      </c>
      <c r="W44" s="1"/>
      <c r="X44" s="1">
        <f t="shared" si="38"/>
        <v>-139</v>
      </c>
      <c r="Y44" s="1"/>
      <c r="Z44" s="5">
        <f t="shared" si="39"/>
        <v>-3.4371909000989118E-2</v>
      </c>
    </row>
    <row r="45" spans="1:26" s="24" customFormat="1" hidden="1" outlineLevel="2" x14ac:dyDescent="0.3">
      <c r="A45" s="27"/>
      <c r="B45" s="12" t="str">
        <f>CONCATENATE("          ", "6401", " - ", "INTEREST EXPENSE")</f>
        <v xml:space="preserve">          6401 - INTEREST EXPENSE</v>
      </c>
      <c r="C45" s="12"/>
      <c r="D45" s="8">
        <v>3905</v>
      </c>
      <c r="E45" s="3"/>
      <c r="F45" s="7">
        <f t="shared" si="32"/>
        <v>0</v>
      </c>
      <c r="G45" s="3"/>
      <c r="H45" s="8">
        <v>4044</v>
      </c>
      <c r="I45" s="3"/>
      <c r="J45" s="7">
        <f t="shared" si="33"/>
        <v>0</v>
      </c>
      <c r="K45" s="3"/>
      <c r="L45" s="8">
        <f t="shared" si="34"/>
        <v>-139</v>
      </c>
      <c r="M45" s="3"/>
      <c r="N45" s="7">
        <f t="shared" si="35"/>
        <v>-3.4371909000989118E-2</v>
      </c>
      <c r="O45" s="12"/>
      <c r="P45" s="8">
        <v>3905</v>
      </c>
      <c r="Q45" s="3"/>
      <c r="R45" s="7">
        <f t="shared" si="36"/>
        <v>0</v>
      </c>
      <c r="S45" s="3"/>
      <c r="T45" s="8">
        <v>4044</v>
      </c>
      <c r="U45" s="3"/>
      <c r="V45" s="7">
        <f t="shared" si="37"/>
        <v>0</v>
      </c>
      <c r="W45" s="3"/>
      <c r="X45" s="8">
        <f t="shared" si="38"/>
        <v>-139</v>
      </c>
      <c r="Y45" s="3"/>
      <c r="Z45" s="7">
        <f t="shared" si="39"/>
        <v>-3.4371909000989118E-2</v>
      </c>
    </row>
    <row r="46" spans="1:26" s="29" customFormat="1" outlineLevel="1" collapsed="1" x14ac:dyDescent="0.3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0</v>
      </c>
      <c r="E46" s="1"/>
      <c r="F46" s="5">
        <f t="shared" si="32"/>
        <v>0</v>
      </c>
      <c r="G46" s="1"/>
      <c r="H46" s="1">
        <f>SUM(OSRRefH22_7x_0)</f>
        <v>114</v>
      </c>
      <c r="I46" s="1"/>
      <c r="J46" s="5">
        <f t="shared" si="33"/>
        <v>0</v>
      </c>
      <c r="K46" s="1"/>
      <c r="L46" s="1">
        <f t="shared" si="34"/>
        <v>-114</v>
      </c>
      <c r="M46" s="1"/>
      <c r="N46" s="5">
        <f t="shared" si="35"/>
        <v>-1</v>
      </c>
      <c r="O46" s="14"/>
      <c r="P46" s="1">
        <f>SUM(OSRRefP22_7x_0)</f>
        <v>0</v>
      </c>
      <c r="Q46" s="1"/>
      <c r="R46" s="5">
        <f t="shared" si="36"/>
        <v>0</v>
      </c>
      <c r="S46" s="1"/>
      <c r="T46" s="1">
        <f>SUM(OSRRefT22_7x_0)</f>
        <v>114</v>
      </c>
      <c r="U46" s="1"/>
      <c r="V46" s="5">
        <f t="shared" si="37"/>
        <v>0</v>
      </c>
      <c r="W46" s="1"/>
      <c r="X46" s="1">
        <f t="shared" si="38"/>
        <v>-114</v>
      </c>
      <c r="Y46" s="1"/>
      <c r="Z46" s="5">
        <f t="shared" si="39"/>
        <v>-1</v>
      </c>
    </row>
    <row r="47" spans="1:26" s="24" customFormat="1" hidden="1" outlineLevel="2" x14ac:dyDescent="0.3">
      <c r="A47" s="27"/>
      <c r="B47" s="12" t="str">
        <f>CONCATENATE("          ", "6375", " - ", "OUTSIDE REPAIRS &amp; MAINTENANCE")</f>
        <v xml:space="preserve">          6375 - OUTSIDE REPAIRS &amp; MAINTENANCE</v>
      </c>
      <c r="C47" s="12"/>
      <c r="D47" s="8"/>
      <c r="E47" s="3"/>
      <c r="F47" s="7">
        <f t="shared" si="32"/>
        <v>0</v>
      </c>
      <c r="G47" s="3"/>
      <c r="H47" s="8">
        <v>114</v>
      </c>
      <c r="I47" s="3"/>
      <c r="J47" s="7">
        <f t="shared" si="33"/>
        <v>0</v>
      </c>
      <c r="K47" s="3"/>
      <c r="L47" s="8">
        <f t="shared" si="34"/>
        <v>-114</v>
      </c>
      <c r="M47" s="3"/>
      <c r="N47" s="7">
        <f t="shared" si="35"/>
        <v>-1</v>
      </c>
      <c r="O47" s="12"/>
      <c r="P47" s="8"/>
      <c r="Q47" s="3"/>
      <c r="R47" s="7">
        <f t="shared" si="36"/>
        <v>0</v>
      </c>
      <c r="S47" s="3"/>
      <c r="T47" s="8">
        <v>114</v>
      </c>
      <c r="U47" s="3"/>
      <c r="V47" s="7">
        <f t="shared" si="37"/>
        <v>0</v>
      </c>
      <c r="W47" s="3"/>
      <c r="X47" s="8">
        <f t="shared" si="38"/>
        <v>-114</v>
      </c>
      <c r="Y47" s="3"/>
      <c r="Z47" s="7">
        <f t="shared" si="39"/>
        <v>-1</v>
      </c>
    </row>
    <row r="48" spans="1:26" s="29" customFormat="1" outlineLevel="1" collapsed="1" x14ac:dyDescent="0.3">
      <c r="A48" s="28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151.85</v>
      </c>
      <c r="E48" s="1"/>
      <c r="F48" s="5">
        <f t="shared" si="32"/>
        <v>0</v>
      </c>
      <c r="G48" s="1"/>
      <c r="H48" s="1">
        <f>SUM(OSRRefH22_8x_0)</f>
        <v>-804.6</v>
      </c>
      <c r="I48" s="1"/>
      <c r="J48" s="5">
        <f t="shared" si="33"/>
        <v>0</v>
      </c>
      <c r="K48" s="1"/>
      <c r="L48" s="1">
        <f t="shared" si="34"/>
        <v>956.45</v>
      </c>
      <c r="M48" s="1"/>
      <c r="N48" s="5">
        <f t="shared" si="35"/>
        <v>-1.1887273179219489</v>
      </c>
      <c r="O48" s="14"/>
      <c r="P48" s="1">
        <f>SUM(OSRRefP22_8x_0)</f>
        <v>151.85</v>
      </c>
      <c r="Q48" s="1"/>
      <c r="R48" s="5">
        <f t="shared" si="36"/>
        <v>0</v>
      </c>
      <c r="S48" s="1"/>
      <c r="T48" s="1">
        <f>SUM(OSRRefT22_8x_0)</f>
        <v>-804.6</v>
      </c>
      <c r="U48" s="1"/>
      <c r="V48" s="5">
        <f t="shared" si="37"/>
        <v>0</v>
      </c>
      <c r="W48" s="1"/>
      <c r="X48" s="1">
        <f t="shared" si="38"/>
        <v>956.45</v>
      </c>
      <c r="Y48" s="1"/>
      <c r="Z48" s="5">
        <f t="shared" si="39"/>
        <v>-1.1887273179219489</v>
      </c>
    </row>
    <row r="49" spans="1:26" s="24" customFormat="1" hidden="1" outlineLevel="2" x14ac:dyDescent="0.3">
      <c r="A49" s="27"/>
      <c r="B49" s="12" t="str">
        <f>CONCATENATE("          ", "6282", " - ", "JANITORIAL/EXTERMINATOR EXPENS")</f>
        <v xml:space="preserve">          6282 - JANITORIAL/EXTERMINATOR EXPENS</v>
      </c>
      <c r="C49" s="12"/>
      <c r="D49" s="8">
        <v>151.85</v>
      </c>
      <c r="E49" s="3"/>
      <c r="F49" s="7">
        <f t="shared" si="32"/>
        <v>0</v>
      </c>
      <c r="G49" s="3"/>
      <c r="H49" s="8"/>
      <c r="I49" s="3"/>
      <c r="J49" s="7">
        <f t="shared" si="33"/>
        <v>0</v>
      </c>
      <c r="K49" s="3"/>
      <c r="L49" s="8">
        <f t="shared" si="34"/>
        <v>151.85</v>
      </c>
      <c r="M49" s="3"/>
      <c r="N49" s="7">
        <f t="shared" si="35"/>
        <v>0</v>
      </c>
      <c r="O49" s="12"/>
      <c r="P49" s="8">
        <v>151.85</v>
      </c>
      <c r="Q49" s="3"/>
      <c r="R49" s="7">
        <f t="shared" si="36"/>
        <v>0</v>
      </c>
      <c r="S49" s="3"/>
      <c r="T49" s="8"/>
      <c r="U49" s="3"/>
      <c r="V49" s="7">
        <f t="shared" si="37"/>
        <v>0</v>
      </c>
      <c r="W49" s="3"/>
      <c r="X49" s="8">
        <f t="shared" si="38"/>
        <v>151.85</v>
      </c>
      <c r="Y49" s="3"/>
      <c r="Z49" s="7">
        <f t="shared" si="39"/>
        <v>0</v>
      </c>
    </row>
    <row r="50" spans="1:26" s="24" customFormat="1" hidden="1" outlineLevel="2" x14ac:dyDescent="0.3">
      <c r="A50" s="27"/>
      <c r="B50" s="12" t="str">
        <f>CONCATENATE("          ", "6285", " - ", "JANITORIAL SERVICES")</f>
        <v xml:space="preserve">          6285 - JANITORIAL SERVICES</v>
      </c>
      <c r="C50" s="12"/>
      <c r="D50" s="8"/>
      <c r="E50" s="3"/>
      <c r="F50" s="7">
        <f t="shared" si="32"/>
        <v>0</v>
      </c>
      <c r="G50" s="3"/>
      <c r="H50" s="8">
        <v>-804.6</v>
      </c>
      <c r="I50" s="3"/>
      <c r="J50" s="7">
        <f t="shared" si="33"/>
        <v>0</v>
      </c>
      <c r="K50" s="3"/>
      <c r="L50" s="8">
        <f t="shared" si="34"/>
        <v>804.6</v>
      </c>
      <c r="M50" s="3"/>
      <c r="N50" s="7">
        <f t="shared" si="35"/>
        <v>-1</v>
      </c>
      <c r="O50" s="12"/>
      <c r="P50" s="8"/>
      <c r="Q50" s="3"/>
      <c r="R50" s="7">
        <f t="shared" si="36"/>
        <v>0</v>
      </c>
      <c r="S50" s="3"/>
      <c r="T50" s="8">
        <v>-804.6</v>
      </c>
      <c r="U50" s="3"/>
      <c r="V50" s="7">
        <f t="shared" si="37"/>
        <v>0</v>
      </c>
      <c r="W50" s="3"/>
      <c r="X50" s="8">
        <f t="shared" si="38"/>
        <v>804.6</v>
      </c>
      <c r="Y50" s="3"/>
      <c r="Z50" s="7">
        <f t="shared" si="39"/>
        <v>-1</v>
      </c>
    </row>
    <row r="51" spans="1:26" s="29" customFormat="1" outlineLevel="1" collapsed="1" x14ac:dyDescent="0.3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SUM(OSRRefD22_9x_0)</f>
        <v>112.24</v>
      </c>
      <c r="E51" s="1"/>
      <c r="F51" s="5">
        <f t="shared" ref="F51:F53" si="40">IF(D$12=0,0,D51/D$12)</f>
        <v>0</v>
      </c>
      <c r="G51" s="1"/>
      <c r="H51" s="1">
        <f>SUM(OSRRefH22_9x_0)</f>
        <v>207.27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-95.030000000000015</v>
      </c>
      <c r="M51" s="1"/>
      <c r="N51" s="5">
        <f t="shared" ref="N51:N53" si="43">IF(H51=0,0,L51/H51)</f>
        <v>-0.45848410286100261</v>
      </c>
      <c r="O51" s="14"/>
      <c r="P51" s="1">
        <f>SUM(OSRRefP22_9x_0)</f>
        <v>112.24</v>
      </c>
      <c r="Q51" s="1"/>
      <c r="R51" s="5">
        <f t="shared" ref="R51:R53" si="44">IF(P$12=0,0,P51/P$12)</f>
        <v>0</v>
      </c>
      <c r="S51" s="1"/>
      <c r="T51" s="1">
        <f>SUM(OSRRefT22_9x_0)</f>
        <v>207.27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-95.030000000000015</v>
      </c>
      <c r="Y51" s="1"/>
      <c r="Z51" s="5">
        <f t="shared" ref="Z51:Z53" si="47">IF(T51=0,0,X51/T51)</f>
        <v>-0.45848410286100261</v>
      </c>
    </row>
    <row r="52" spans="1:26" s="24" customFormat="1" hidden="1" outlineLevel="2" x14ac:dyDescent="0.3">
      <c r="A52" s="27"/>
      <c r="B52" s="12" t="str">
        <f>CONCATENATE("          ", "6235", " - ", "COVID-19 EXPENSES")</f>
        <v xml:space="preserve">          6235 - COVID-19 EXPENSES</v>
      </c>
      <c r="C52" s="12"/>
      <c r="D52" s="8"/>
      <c r="E52" s="3"/>
      <c r="F52" s="7">
        <f t="shared" si="40"/>
        <v>0</v>
      </c>
      <c r="G52" s="3"/>
      <c r="H52" s="8">
        <v>207.27</v>
      </c>
      <c r="I52" s="3"/>
      <c r="J52" s="7">
        <f t="shared" si="41"/>
        <v>0</v>
      </c>
      <c r="K52" s="3"/>
      <c r="L52" s="8">
        <f t="shared" si="42"/>
        <v>-207.27</v>
      </c>
      <c r="M52" s="3"/>
      <c r="N52" s="7">
        <f t="shared" si="43"/>
        <v>-1</v>
      </c>
      <c r="O52" s="12"/>
      <c r="P52" s="8"/>
      <c r="Q52" s="3"/>
      <c r="R52" s="7">
        <f t="shared" si="44"/>
        <v>0</v>
      </c>
      <c r="S52" s="3"/>
      <c r="T52" s="8">
        <v>207.27</v>
      </c>
      <c r="U52" s="3"/>
      <c r="V52" s="7">
        <f t="shared" si="45"/>
        <v>0</v>
      </c>
      <c r="W52" s="3"/>
      <c r="X52" s="8">
        <f t="shared" si="46"/>
        <v>-207.27</v>
      </c>
      <c r="Y52" s="3"/>
      <c r="Z52" s="7">
        <f t="shared" si="47"/>
        <v>-1</v>
      </c>
    </row>
    <row r="53" spans="1:26" s="24" customFormat="1" hidden="1" outlineLevel="2" x14ac:dyDescent="0.3">
      <c r="A53" s="27"/>
      <c r="B53" s="12" t="str">
        <f>CONCATENATE("          ", "6241", " - ", "OFFICE EXPENSE")</f>
        <v xml:space="preserve">          6241 - OFFICE EXPENSE</v>
      </c>
      <c r="C53" s="12"/>
      <c r="D53" s="8">
        <v>112.24</v>
      </c>
      <c r="E53" s="3"/>
      <c r="F53" s="7">
        <f t="shared" si="40"/>
        <v>0</v>
      </c>
      <c r="G53" s="3"/>
      <c r="H53" s="8"/>
      <c r="I53" s="3"/>
      <c r="J53" s="7">
        <f t="shared" si="41"/>
        <v>0</v>
      </c>
      <c r="K53" s="3"/>
      <c r="L53" s="8">
        <f t="shared" si="42"/>
        <v>112.24</v>
      </c>
      <c r="M53" s="3"/>
      <c r="N53" s="7">
        <f t="shared" si="43"/>
        <v>0</v>
      </c>
      <c r="O53" s="12"/>
      <c r="P53" s="8">
        <v>112.24</v>
      </c>
      <c r="Q53" s="3"/>
      <c r="R53" s="7">
        <f t="shared" si="44"/>
        <v>0</v>
      </c>
      <c r="S53" s="3"/>
      <c r="T53" s="8"/>
      <c r="U53" s="3"/>
      <c r="V53" s="7">
        <f t="shared" si="45"/>
        <v>0</v>
      </c>
      <c r="W53" s="3"/>
      <c r="X53" s="8">
        <f t="shared" si="46"/>
        <v>112.24</v>
      </c>
      <c r="Y53" s="3"/>
      <c r="Z53" s="7">
        <f t="shared" si="47"/>
        <v>0</v>
      </c>
    </row>
    <row r="54" spans="1:26" s="29" customFormat="1" outlineLevel="1" collapsed="1" x14ac:dyDescent="0.3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SUM(OSRRefD22_10x_0)</f>
        <v>118.8</v>
      </c>
      <c r="E54" s="1"/>
      <c r="F54" s="5">
        <f t="shared" ref="F54:F57" si="48">IF(D$12=0,0,D54/D$12)</f>
        <v>0</v>
      </c>
      <c r="G54" s="1"/>
      <c r="H54" s="1">
        <f>SUM(OSRRefH22_10x_0)</f>
        <v>388.81</v>
      </c>
      <c r="I54" s="1"/>
      <c r="J54" s="5">
        <f t="shared" ref="J54:J57" si="49">IF(H$12=0,0,H54/H$12)</f>
        <v>0</v>
      </c>
      <c r="K54" s="1"/>
      <c r="L54" s="1">
        <f t="shared" ref="L54:L57" si="50">+D54-H54</f>
        <v>-270.01</v>
      </c>
      <c r="M54" s="1"/>
      <c r="N54" s="5">
        <f t="shared" ref="N54:N57" si="51">IF(H54=0,0,L54/H54)</f>
        <v>-0.69445230318150253</v>
      </c>
      <c r="O54" s="14"/>
      <c r="P54" s="1">
        <f>SUM(OSRRefP22_10x_0)</f>
        <v>118.8</v>
      </c>
      <c r="Q54" s="1"/>
      <c r="R54" s="5">
        <f t="shared" ref="R54:R57" si="52">IF(P$12=0,0,P54/P$12)</f>
        <v>0</v>
      </c>
      <c r="S54" s="1"/>
      <c r="T54" s="1">
        <f>SUM(OSRRefT22_10x_0)</f>
        <v>388.81</v>
      </c>
      <c r="U54" s="1"/>
      <c r="V54" s="5">
        <f t="shared" ref="V54:V57" si="53">IF(T$12=0,0,T54/T$12)</f>
        <v>0</v>
      </c>
      <c r="W54" s="1"/>
      <c r="X54" s="1">
        <f t="shared" ref="X54:X57" si="54">+P54-T54</f>
        <v>-270.01</v>
      </c>
      <c r="Y54" s="1"/>
      <c r="Z54" s="5">
        <f t="shared" ref="Z54:Z57" si="55">IF(T54=0,0,X54/T54)</f>
        <v>-0.69445230318150253</v>
      </c>
    </row>
    <row r="55" spans="1:26" s="24" customFormat="1" hidden="1" outlineLevel="2" x14ac:dyDescent="0.3">
      <c r="A55" s="27"/>
      <c r="B55" s="12" t="str">
        <f>CONCATENATE("          ", "6309", " - ", "TELEPHONE")</f>
        <v xml:space="preserve">          6309 - TELEPHONE</v>
      </c>
      <c r="C55" s="12"/>
      <c r="D55" s="8">
        <v>118.8</v>
      </c>
      <c r="E55" s="3"/>
      <c r="F55" s="7">
        <f t="shared" si="48"/>
        <v>0</v>
      </c>
      <c r="G55" s="3"/>
      <c r="H55" s="8">
        <v>388.81</v>
      </c>
      <c r="I55" s="3"/>
      <c r="J55" s="7">
        <f t="shared" si="49"/>
        <v>0</v>
      </c>
      <c r="K55" s="3"/>
      <c r="L55" s="8">
        <f t="shared" si="50"/>
        <v>-270.01</v>
      </c>
      <c r="M55" s="3"/>
      <c r="N55" s="7">
        <f t="shared" si="51"/>
        <v>-0.69445230318150253</v>
      </c>
      <c r="O55" s="12"/>
      <c r="P55" s="8">
        <v>118.8</v>
      </c>
      <c r="Q55" s="3"/>
      <c r="R55" s="7">
        <f t="shared" si="52"/>
        <v>0</v>
      </c>
      <c r="S55" s="3"/>
      <c r="T55" s="8">
        <v>388.81</v>
      </c>
      <c r="U55" s="3"/>
      <c r="V55" s="7">
        <f t="shared" si="53"/>
        <v>0</v>
      </c>
      <c r="W55" s="3"/>
      <c r="X55" s="8">
        <f t="shared" si="54"/>
        <v>-270.01</v>
      </c>
      <c r="Y55" s="3"/>
      <c r="Z55" s="7">
        <f t="shared" si="55"/>
        <v>-0.69445230318150253</v>
      </c>
    </row>
    <row r="56" spans="1:26" s="29" customFormat="1" outlineLevel="1" collapsed="1" x14ac:dyDescent="0.3">
      <c r="A56" s="28"/>
      <c r="B56" s="14" t="str">
        <f>CONCATENATE("     ","Utilities                                         ")</f>
        <v xml:space="preserve">     Utilities                                         </v>
      </c>
      <c r="C56" s="14"/>
      <c r="D56" s="1">
        <f>SUM(OSRRefD22_11x_0)</f>
        <v>100</v>
      </c>
      <c r="E56" s="1"/>
      <c r="F56" s="5">
        <f t="shared" si="48"/>
        <v>0</v>
      </c>
      <c r="G56" s="1"/>
      <c r="H56" s="1">
        <f>SUM(OSRRefH22_11x_0)</f>
        <v>50</v>
      </c>
      <c r="I56" s="1"/>
      <c r="J56" s="5">
        <f t="shared" si="49"/>
        <v>0</v>
      </c>
      <c r="K56" s="1"/>
      <c r="L56" s="1">
        <f t="shared" si="50"/>
        <v>50</v>
      </c>
      <c r="M56" s="1"/>
      <c r="N56" s="5">
        <f t="shared" si="51"/>
        <v>1</v>
      </c>
      <c r="O56" s="14"/>
      <c r="P56" s="1">
        <f>SUM(OSRRefP22_11x_0)</f>
        <v>100</v>
      </c>
      <c r="Q56" s="1"/>
      <c r="R56" s="5">
        <f t="shared" si="52"/>
        <v>0</v>
      </c>
      <c r="S56" s="1"/>
      <c r="T56" s="1">
        <f>SUM(OSRRefT22_11x_0)</f>
        <v>50</v>
      </c>
      <c r="U56" s="1"/>
      <c r="V56" s="5">
        <f t="shared" si="53"/>
        <v>0</v>
      </c>
      <c r="W56" s="1"/>
      <c r="X56" s="1">
        <f t="shared" si="54"/>
        <v>50</v>
      </c>
      <c r="Y56" s="1"/>
      <c r="Z56" s="5">
        <f t="shared" si="55"/>
        <v>1</v>
      </c>
    </row>
    <row r="57" spans="1:26" s="24" customFormat="1" hidden="1" outlineLevel="2" x14ac:dyDescent="0.3">
      <c r="A57" s="27"/>
      <c r="B57" s="12" t="str">
        <f>CONCATENATE("          ", "6274", " - ", "UTILITIES")</f>
        <v xml:space="preserve">          6274 - UTILITIES</v>
      </c>
      <c r="C57" s="12"/>
      <c r="D57" s="8">
        <v>100</v>
      </c>
      <c r="E57" s="3"/>
      <c r="F57" s="7">
        <f t="shared" si="48"/>
        <v>0</v>
      </c>
      <c r="G57" s="3"/>
      <c r="H57" s="8">
        <v>50</v>
      </c>
      <c r="I57" s="3"/>
      <c r="J57" s="7">
        <f t="shared" si="49"/>
        <v>0</v>
      </c>
      <c r="K57" s="3"/>
      <c r="L57" s="8">
        <f t="shared" si="50"/>
        <v>50</v>
      </c>
      <c r="M57" s="3"/>
      <c r="N57" s="7">
        <f t="shared" si="51"/>
        <v>1</v>
      </c>
      <c r="O57" s="12"/>
      <c r="P57" s="8">
        <v>100</v>
      </c>
      <c r="Q57" s="3"/>
      <c r="R57" s="7">
        <f t="shared" si="52"/>
        <v>0</v>
      </c>
      <c r="S57" s="3"/>
      <c r="T57" s="8">
        <v>50</v>
      </c>
      <c r="U57" s="3"/>
      <c r="V57" s="7">
        <f t="shared" si="53"/>
        <v>0</v>
      </c>
      <c r="W57" s="3"/>
      <c r="X57" s="8">
        <f t="shared" si="54"/>
        <v>50</v>
      </c>
      <c r="Y57" s="3"/>
      <c r="Z57" s="7">
        <f t="shared" si="55"/>
        <v>1</v>
      </c>
    </row>
    <row r="58" spans="1:26" s="53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5" t="s">
        <v>292</v>
      </c>
      <c r="C59" s="10"/>
      <c r="D59" s="4">
        <f>SUM(0)</f>
        <v>0</v>
      </c>
      <c r="E59" s="4"/>
      <c r="F59" s="11">
        <f>IF(D$12=0,0,D59/D$12)</f>
        <v>0</v>
      </c>
      <c r="G59" s="4"/>
      <c r="H59" s="4">
        <f>SUM(0)</f>
        <v>0</v>
      </c>
      <c r="I59" s="4"/>
      <c r="J59" s="11">
        <f>IF(H$12=0,0,H59/H$12)</f>
        <v>0</v>
      </c>
      <c r="K59" s="4"/>
      <c r="L59" s="4">
        <f>+D59-H59</f>
        <v>0</v>
      </c>
      <c r="M59" s="4"/>
      <c r="N59" s="11">
        <f>IF(H59=0,0,L59/H59)</f>
        <v>0</v>
      </c>
      <c r="O59" s="10"/>
      <c r="P59" s="4">
        <f>SUM(0)</f>
        <v>0</v>
      </c>
      <c r="Q59" s="4"/>
      <c r="R59" s="11">
        <f>IF(P$12=0,0,P59/P$12)</f>
        <v>0</v>
      </c>
      <c r="S59" s="4"/>
      <c r="T59" s="4">
        <f>SUM(0)</f>
        <v>0</v>
      </c>
      <c r="U59" s="4"/>
      <c r="V59" s="11">
        <f>IF(T$12=0,0,T59/T$12)</f>
        <v>0</v>
      </c>
      <c r="W59" s="4"/>
      <c r="X59" s="4">
        <f>+P59-T59</f>
        <v>0</v>
      </c>
      <c r="Y59" s="4"/>
      <c r="Z59" s="11">
        <f>IF(T59=0,0,X59/T59)</f>
        <v>0</v>
      </c>
    </row>
    <row r="60" spans="1:26" x14ac:dyDescent="0.3">
      <c r="A60" s="9"/>
      <c r="B60" s="10"/>
      <c r="C60" s="10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O60" s="10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x14ac:dyDescent="0.3">
      <c r="A61" s="10"/>
      <c r="B61" s="26" t="s">
        <v>276</v>
      </c>
      <c r="C61" s="26"/>
      <c r="D61" s="20">
        <f>+D21-D23+D59</f>
        <v>-11929.9</v>
      </c>
      <c r="E61" s="13"/>
      <c r="F61" s="21">
        <f>IF(D$12=0,0,D61/D$12)</f>
        <v>0</v>
      </c>
      <c r="G61" s="13"/>
      <c r="H61" s="20">
        <f>+H21-H23+H59</f>
        <v>-35048.209999999992</v>
      </c>
      <c r="I61" s="13"/>
      <c r="J61" s="21">
        <f>IF(H$12=0,0,H61/H$12)</f>
        <v>0</v>
      </c>
      <c r="K61" s="16"/>
      <c r="L61" s="20">
        <f>+D61-H61</f>
        <v>23118.30999999999</v>
      </c>
      <c r="M61" s="16"/>
      <c r="N61" s="21">
        <f>IF(H61=0,0,L61/H61)</f>
        <v>-0.65961457090105302</v>
      </c>
      <c r="O61" s="25"/>
      <c r="P61" s="20">
        <f>+P21-P23+P59</f>
        <v>-11929.9</v>
      </c>
      <c r="Q61" s="13"/>
      <c r="R61" s="21">
        <f>IF(P$12=0,0,P61/P$12)</f>
        <v>0</v>
      </c>
      <c r="S61" s="13"/>
      <c r="T61" s="20">
        <f>+T21-T23+T59</f>
        <v>-35048.209999999992</v>
      </c>
      <c r="U61" s="13"/>
      <c r="V61" s="21">
        <f>IF(T$12=0,0,T61/T$12)</f>
        <v>0</v>
      </c>
      <c r="W61" s="16"/>
      <c r="X61" s="20">
        <f>+P61-T61</f>
        <v>23118.30999999999</v>
      </c>
      <c r="Y61" s="16"/>
      <c r="Z61" s="21">
        <f>IF(T61=0,0,X61/T61)</f>
        <v>-0.65961457090105302</v>
      </c>
    </row>
    <row r="62" spans="1:26" x14ac:dyDescent="0.3">
      <c r="A62" s="9"/>
      <c r="B62" s="10"/>
      <c r="C62" s="9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x14ac:dyDescent="0.3">
      <c r="A63" s="51"/>
      <c r="B63" s="10" t="s">
        <v>127</v>
      </c>
      <c r="C63" s="10"/>
      <c r="D63" s="4"/>
      <c r="E63" s="4"/>
      <c r="F63" s="11">
        <f>IF(D$12=0,0,D63/D$12)</f>
        <v>0</v>
      </c>
      <c r="G63" s="4"/>
      <c r="H63" s="4"/>
      <c r="I63" s="4"/>
      <c r="J63" s="11">
        <f>IF(H$12=0,0,H63/H$12)</f>
        <v>0</v>
      </c>
      <c r="K63" s="4"/>
      <c r="L63" s="4">
        <f>+D63-H63</f>
        <v>0</v>
      </c>
      <c r="M63" s="4"/>
      <c r="N63" s="11">
        <f>IF(H63=0,0,L63/H63)</f>
        <v>0</v>
      </c>
      <c r="O63" s="10"/>
      <c r="P63" s="4"/>
      <c r="Q63" s="4"/>
      <c r="R63" s="11">
        <f>IF(P$12=0,0,P63/P$12)</f>
        <v>0</v>
      </c>
      <c r="S63" s="4"/>
      <c r="T63" s="4"/>
      <c r="U63" s="4"/>
      <c r="V63" s="11">
        <f>IF(T$12=0,0,T63/T$12)</f>
        <v>0</v>
      </c>
      <c r="W63" s="4"/>
      <c r="X63" s="4">
        <f>+P63-T63</f>
        <v>0</v>
      </c>
      <c r="Y63" s="4"/>
      <c r="Z63" s="11">
        <f>IF(T63=0,0,X63/T63)</f>
        <v>0</v>
      </c>
    </row>
    <row r="64" spans="1:26" x14ac:dyDescent="0.3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ht="15" thickBot="1" x14ac:dyDescent="0.35">
      <c r="A65" s="10"/>
      <c r="B65" s="26" t="s">
        <v>125</v>
      </c>
      <c r="C65" s="26"/>
      <c r="D65" s="36">
        <f>+D61-D63</f>
        <v>-11929.9</v>
      </c>
      <c r="E65" s="13"/>
      <c r="F65" s="34">
        <f>IF(D$12=0,0,D65/D$12)</f>
        <v>0</v>
      </c>
      <c r="G65" s="13"/>
      <c r="H65" s="36">
        <f>+H61-H63</f>
        <v>-35048.209999999992</v>
      </c>
      <c r="I65" s="13"/>
      <c r="J65" s="34">
        <f>IF(H$12=0,0,H65/H$12)</f>
        <v>0</v>
      </c>
      <c r="K65" s="16"/>
      <c r="L65" s="36">
        <f>D65-H65</f>
        <v>23118.30999999999</v>
      </c>
      <c r="M65" s="16"/>
      <c r="N65" s="34">
        <f>IF(H65=0,0,L65/H65)</f>
        <v>-0.65961457090105302</v>
      </c>
      <c r="O65" s="25"/>
      <c r="P65" s="36">
        <f>+P61-P63</f>
        <v>-11929.9</v>
      </c>
      <c r="Q65" s="13"/>
      <c r="R65" s="34">
        <f>IF(P$12=0,0,P65/P$12)</f>
        <v>0</v>
      </c>
      <c r="S65" s="13"/>
      <c r="T65" s="36">
        <f>+T61-T63</f>
        <v>-35048.209999999992</v>
      </c>
      <c r="U65" s="13"/>
      <c r="V65" s="34">
        <f>IF(T$12=0,0,T65/T$12)</f>
        <v>0</v>
      </c>
      <c r="W65" s="16"/>
      <c r="X65" s="36">
        <f>P65-T65</f>
        <v>23118.30999999999</v>
      </c>
      <c r="Y65" s="16"/>
      <c r="Z65" s="34">
        <f>IF(T65=0,0,X65/T65)</f>
        <v>-0.65961457090105302</v>
      </c>
    </row>
    <row r="66" spans="1:26" ht="15" thickTop="1" x14ac:dyDescent="0.3">
      <c r="A66" s="9"/>
      <c r="B66" s="9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x14ac:dyDescent="0.3">
      <c r="A67" s="9"/>
      <c r="B67" s="9"/>
      <c r="C67" s="9"/>
      <c r="D67" s="2"/>
      <c r="E67" s="2"/>
      <c r="F67" s="6"/>
      <c r="G67" s="2"/>
      <c r="H67" s="2"/>
      <c r="I67" s="2"/>
      <c r="J67" s="6"/>
      <c r="K67" s="2"/>
      <c r="L67" s="2"/>
      <c r="M67" s="2"/>
      <c r="N67" s="6"/>
      <c r="P67" s="2"/>
      <c r="Q67" s="2"/>
      <c r="R67" s="6"/>
      <c r="S67" s="2"/>
      <c r="T67" s="2"/>
      <c r="U67" s="2"/>
      <c r="V67" s="6"/>
      <c r="W67" s="2"/>
      <c r="X67" s="2"/>
      <c r="Y67" s="2"/>
      <c r="Z67" s="6"/>
    </row>
    <row r="68" spans="1:26" s="23" customFormat="1" ht="15" thickBot="1" x14ac:dyDescent="0.35">
      <c r="A68" s="10"/>
      <c r="B68" s="26" t="s">
        <v>293</v>
      </c>
      <c r="C68" s="26"/>
      <c r="D68" s="31">
        <f>SUM(D65:D67)</f>
        <v>-11929.9</v>
      </c>
      <c r="E68" s="13"/>
      <c r="F68" s="33">
        <f>IF(D$12=0,0,D68/D$12)</f>
        <v>0</v>
      </c>
      <c r="G68" s="13"/>
      <c r="H68" s="31">
        <f>SUM(H65:H67)</f>
        <v>-35048.209999999992</v>
      </c>
      <c r="I68" s="13"/>
      <c r="J68" s="33">
        <f>IF(H$12=0,0,H68/H$12)</f>
        <v>0</v>
      </c>
      <c r="K68" s="16"/>
      <c r="L68" s="31">
        <f>+D68-H68</f>
        <v>23118.30999999999</v>
      </c>
      <c r="M68" s="16"/>
      <c r="N68" s="33">
        <f>IF(H68=0,0,L68/H68)</f>
        <v>-0.65961457090105302</v>
      </c>
      <c r="O68" s="25"/>
      <c r="P68" s="31">
        <f>SUM(P65:P67)</f>
        <v>-11929.9</v>
      </c>
      <c r="Q68" s="13"/>
      <c r="R68" s="33">
        <f>IF(P$12=0,0,P68/P$12)</f>
        <v>0</v>
      </c>
      <c r="S68" s="13"/>
      <c r="T68" s="31">
        <f>SUM(T65:T67)</f>
        <v>-35048.209999999992</v>
      </c>
      <c r="U68" s="13"/>
      <c r="V68" s="33">
        <f>IF(T$12=0,0,T68/T$12)</f>
        <v>0</v>
      </c>
      <c r="W68" s="16"/>
      <c r="X68" s="31">
        <f>+P68-T68</f>
        <v>23118.30999999999</v>
      </c>
      <c r="Y68" s="16"/>
      <c r="Z68" s="33">
        <f>IF(T68=0,0,X68/T68)</f>
        <v>-0.65961457090105302</v>
      </c>
    </row>
    <row r="69" spans="1:26" ht="15" thickTop="1" x14ac:dyDescent="0.3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A70" s="9"/>
      <c r="B70" s="59">
        <v>44462.666883483798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A71" s="9"/>
      <c r="B71" s="57" t="s">
        <v>56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3">
      <c r="A72" s="9"/>
      <c r="B72" s="61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3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770.79000000000008</v>
      </c>
      <c r="E18" s="19"/>
      <c r="F18" s="35">
        <f t="shared" ref="F18:F25" si="0">IF(D$12=0,0,D18/D$12)</f>
        <v>0</v>
      </c>
      <c r="G18" s="19"/>
      <c r="H18" s="19">
        <f>SUM(OSRRefH22x_0)</f>
        <v>347.4</v>
      </c>
      <c r="I18" s="19"/>
      <c r="J18" s="35">
        <f t="shared" ref="J18:J25" si="1">IF(H$12=0,0,H18/H$12)</f>
        <v>0</v>
      </c>
      <c r="K18" s="4"/>
      <c r="L18" s="19">
        <f t="shared" ref="L18:L25" si="2">+D18-H18</f>
        <v>423.3900000000001</v>
      </c>
      <c r="M18" s="4"/>
      <c r="N18" s="35">
        <f t="shared" ref="N18:N25" si="3">IF(H18=0,0,L18/H18)</f>
        <v>1.2187392055267707</v>
      </c>
      <c r="O18" s="10"/>
      <c r="P18" s="19">
        <f>SUM(OSRRefP22x_0)</f>
        <v>770.79000000000008</v>
      </c>
      <c r="Q18" s="19"/>
      <c r="R18" s="35">
        <f t="shared" ref="R18:R25" si="4">IF(P$12=0,0,P18/P$12)</f>
        <v>0</v>
      </c>
      <c r="S18" s="19"/>
      <c r="T18" s="19">
        <f>SUM(OSRRefT22x_0)</f>
        <v>347.4</v>
      </c>
      <c r="U18" s="19"/>
      <c r="V18" s="35">
        <f t="shared" ref="V18:V25" si="5">IF(T$12=0,0,T18/T$12)</f>
        <v>0</v>
      </c>
      <c r="W18" s="4"/>
      <c r="X18" s="19">
        <f t="shared" ref="X18:X25" si="6">+P18-T18</f>
        <v>423.3900000000001</v>
      </c>
      <c r="Y18" s="4"/>
      <c r="Z18" s="35">
        <f t="shared" ref="Z18:Z25" si="7">IF(T18=0,0,X18/T18)</f>
        <v>1.2187392055267707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315.43</v>
      </c>
      <c r="I19" s="1"/>
      <c r="J19" s="5">
        <f t="shared" si="1"/>
        <v>0</v>
      </c>
      <c r="K19" s="1"/>
      <c r="L19" s="1">
        <f t="shared" si="2"/>
        <v>273.51000000000005</v>
      </c>
      <c r="M19" s="1"/>
      <c r="N19" s="5">
        <f t="shared" si="3"/>
        <v>0.86710205116824668</v>
      </c>
      <c r="O19" s="14"/>
      <c r="P19" s="1">
        <f>SUM(OSRRefP22_0x_0)</f>
        <v>588.94000000000005</v>
      </c>
      <c r="Q19" s="1"/>
      <c r="R19" s="5">
        <f t="shared" si="4"/>
        <v>0</v>
      </c>
      <c r="S19" s="1"/>
      <c r="T19" s="1">
        <f>SUM(OSRRefT22_0x_0)</f>
        <v>315.43</v>
      </c>
      <c r="U19" s="1"/>
      <c r="V19" s="5">
        <f t="shared" si="5"/>
        <v>0</v>
      </c>
      <c r="W19" s="1"/>
      <c r="X19" s="1">
        <f t="shared" si="6"/>
        <v>273.51000000000005</v>
      </c>
      <c r="Y19" s="1"/>
      <c r="Z19" s="5">
        <f t="shared" si="7"/>
        <v>0.86710205116824668</v>
      </c>
    </row>
    <row r="20" spans="1:26" s="24" customFormat="1" hidden="1" outlineLevel="2" x14ac:dyDescent="0.3">
      <c r="A20" s="27"/>
      <c r="B20" s="12" t="str">
        <f>CONCATENATE("          ", "6322", " - ", "EQUIPMENT DEPRECIATION EXPENSE")</f>
        <v xml:space="preserve">          6322 - EQUIPMENT DEPRECIATION EXPENSE</v>
      </c>
      <c r="C20" s="12"/>
      <c r="D20" s="8">
        <v>588.94000000000005</v>
      </c>
      <c r="E20" s="3"/>
      <c r="F20" s="7">
        <f t="shared" si="0"/>
        <v>0</v>
      </c>
      <c r="G20" s="3"/>
      <c r="H20" s="8">
        <v>315.43</v>
      </c>
      <c r="I20" s="3"/>
      <c r="J20" s="7">
        <f t="shared" si="1"/>
        <v>0</v>
      </c>
      <c r="K20" s="3"/>
      <c r="L20" s="8">
        <f t="shared" si="2"/>
        <v>273.51000000000005</v>
      </c>
      <c r="M20" s="3"/>
      <c r="N20" s="7">
        <f t="shared" si="3"/>
        <v>0.86710205116824668</v>
      </c>
      <c r="O20" s="12"/>
      <c r="P20" s="8">
        <v>588.94000000000005</v>
      </c>
      <c r="Q20" s="3"/>
      <c r="R20" s="7">
        <f t="shared" si="4"/>
        <v>0</v>
      </c>
      <c r="S20" s="3"/>
      <c r="T20" s="8">
        <v>315.43</v>
      </c>
      <c r="U20" s="3"/>
      <c r="V20" s="7">
        <f t="shared" si="5"/>
        <v>0</v>
      </c>
      <c r="W20" s="3"/>
      <c r="X20" s="8">
        <f t="shared" si="6"/>
        <v>273.51000000000005</v>
      </c>
      <c r="Y20" s="3"/>
      <c r="Z20" s="7">
        <f t="shared" si="7"/>
        <v>0.86710205116824668</v>
      </c>
    </row>
    <row r="21" spans="1:26" s="29" customFormat="1" outlineLevel="1" collapsed="1" x14ac:dyDescent="0.3">
      <c r="A21" s="28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114</v>
      </c>
      <c r="I21" s="1"/>
      <c r="J21" s="5">
        <f t="shared" si="1"/>
        <v>0</v>
      </c>
      <c r="K21" s="1"/>
      <c r="L21" s="1">
        <f t="shared" si="2"/>
        <v>-114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114</v>
      </c>
      <c r="U21" s="1"/>
      <c r="V21" s="5">
        <f t="shared" si="5"/>
        <v>0</v>
      </c>
      <c r="W21" s="1"/>
      <c r="X21" s="1">
        <f t="shared" si="6"/>
        <v>-114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2" t="str">
        <f>CONCATENATE("          ", "6375", " - ", "OUTSIDE REPAIRS &amp; MAINTENANCE")</f>
        <v xml:space="preserve">          6375 - OUTSIDE REPAIRS &amp; MAINTENANCE</v>
      </c>
      <c r="C22" s="12"/>
      <c r="D22" s="8"/>
      <c r="E22" s="3"/>
      <c r="F22" s="7">
        <f t="shared" si="0"/>
        <v>0</v>
      </c>
      <c r="G22" s="3"/>
      <c r="H22" s="8">
        <v>114</v>
      </c>
      <c r="I22" s="3"/>
      <c r="J22" s="7">
        <f t="shared" si="1"/>
        <v>0</v>
      </c>
      <c r="K22" s="3"/>
      <c r="L22" s="8">
        <f t="shared" si="2"/>
        <v>-114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114</v>
      </c>
      <c r="U22" s="3"/>
      <c r="V22" s="7">
        <f t="shared" si="5"/>
        <v>0</v>
      </c>
      <c r="W22" s="3"/>
      <c r="X22" s="8">
        <f t="shared" si="6"/>
        <v>-114</v>
      </c>
      <c r="Y22" s="3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151.85</v>
      </c>
      <c r="E23" s="1"/>
      <c r="F23" s="5">
        <f t="shared" si="0"/>
        <v>0</v>
      </c>
      <c r="G23" s="1"/>
      <c r="H23" s="1">
        <f>SUM(OSRRefH22_2x_0)</f>
        <v>-173.04</v>
      </c>
      <c r="I23" s="1"/>
      <c r="J23" s="5">
        <f t="shared" si="1"/>
        <v>0</v>
      </c>
      <c r="K23" s="1"/>
      <c r="L23" s="1">
        <f t="shared" si="2"/>
        <v>324.89</v>
      </c>
      <c r="M23" s="1"/>
      <c r="N23" s="5">
        <f t="shared" si="3"/>
        <v>-1.8775427646786871</v>
      </c>
      <c r="O23" s="14"/>
      <c r="P23" s="1">
        <f>SUM(OSRRefP22_2x_0)</f>
        <v>151.85</v>
      </c>
      <c r="Q23" s="1"/>
      <c r="R23" s="5">
        <f t="shared" si="4"/>
        <v>0</v>
      </c>
      <c r="S23" s="1"/>
      <c r="T23" s="1">
        <f>SUM(OSRRefT22_2x_0)</f>
        <v>-173.04</v>
      </c>
      <c r="U23" s="1"/>
      <c r="V23" s="5">
        <f t="shared" si="5"/>
        <v>0</v>
      </c>
      <c r="W23" s="1"/>
      <c r="X23" s="1">
        <f t="shared" si="6"/>
        <v>324.89</v>
      </c>
      <c r="Y23" s="1"/>
      <c r="Z23" s="5">
        <f t="shared" si="7"/>
        <v>-1.8775427646786871</v>
      </c>
    </row>
    <row r="24" spans="1:26" s="24" customFormat="1" hidden="1" outlineLevel="2" x14ac:dyDescent="0.3">
      <c r="A24" s="27"/>
      <c r="B24" s="12" t="str">
        <f>CONCATENATE("          ", "6282", " - ", "JANITORIAL/EXTERMINATOR EXPENS")</f>
        <v xml:space="preserve">          6282 - JANITORIAL/EXTERMINATOR EXPENS</v>
      </c>
      <c r="C24" s="12"/>
      <c r="D24" s="8">
        <v>151.85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151.85</v>
      </c>
      <c r="M24" s="3"/>
      <c r="N24" s="7">
        <f t="shared" si="3"/>
        <v>0</v>
      </c>
      <c r="O24" s="12"/>
      <c r="P24" s="8">
        <v>151.85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151.85</v>
      </c>
      <c r="Y24" s="3"/>
      <c r="Z24" s="7">
        <f t="shared" si="7"/>
        <v>0</v>
      </c>
    </row>
    <row r="25" spans="1:26" s="24" customFormat="1" hidden="1" outlineLevel="2" x14ac:dyDescent="0.3">
      <c r="A25" s="27"/>
      <c r="B25" s="12" t="str">
        <f>CONCATENATE("          ", "6285", " - ", "JANITORIAL SERVICES")</f>
        <v xml:space="preserve">          6285 - JANITORIAL SERVICES</v>
      </c>
      <c r="C25" s="12"/>
      <c r="D25" s="8"/>
      <c r="E25" s="3"/>
      <c r="F25" s="7">
        <f t="shared" si="0"/>
        <v>0</v>
      </c>
      <c r="G25" s="3"/>
      <c r="H25" s="8">
        <v>-173.04</v>
      </c>
      <c r="I25" s="3"/>
      <c r="J25" s="7">
        <f t="shared" si="1"/>
        <v>0</v>
      </c>
      <c r="K25" s="3"/>
      <c r="L25" s="8">
        <f t="shared" si="2"/>
        <v>173.04</v>
      </c>
      <c r="M25" s="3"/>
      <c r="N25" s="7">
        <f t="shared" si="3"/>
        <v>-1</v>
      </c>
      <c r="O25" s="12"/>
      <c r="P25" s="8"/>
      <c r="Q25" s="3"/>
      <c r="R25" s="7">
        <f t="shared" si="4"/>
        <v>0</v>
      </c>
      <c r="S25" s="3"/>
      <c r="T25" s="8">
        <v>-173.04</v>
      </c>
      <c r="U25" s="3"/>
      <c r="V25" s="7">
        <f t="shared" si="5"/>
        <v>0</v>
      </c>
      <c r="W25" s="3"/>
      <c r="X25" s="8">
        <f t="shared" si="6"/>
        <v>173.04</v>
      </c>
      <c r="Y25" s="3"/>
      <c r="Z25" s="7">
        <f t="shared" si="7"/>
        <v>-1</v>
      </c>
    </row>
    <row r="26" spans="1:26" s="29" customFormat="1" outlineLevel="1" collapsed="1" x14ac:dyDescent="0.3">
      <c r="A26" s="28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30</v>
      </c>
      <c r="E26" s="1"/>
      <c r="F26" s="5">
        <f t="shared" ref="F26:F27" si="8">IF(D$12=0,0,D26/D$12)</f>
        <v>0</v>
      </c>
      <c r="G26" s="1"/>
      <c r="H26" s="1">
        <f>SUM(OSRRefH22_3x_0)</f>
        <v>91.01</v>
      </c>
      <c r="I26" s="1"/>
      <c r="J26" s="5">
        <f t="shared" ref="J26:J27" si="9">IF(H$12=0,0,H26/H$12)</f>
        <v>0</v>
      </c>
      <c r="K26" s="1"/>
      <c r="L26" s="1">
        <f t="shared" ref="L26:L27" si="10">+D26-H26</f>
        <v>-61.010000000000005</v>
      </c>
      <c r="M26" s="1"/>
      <c r="N26" s="5">
        <f t="shared" ref="N26:N27" si="11">IF(H26=0,0,L26/H26)</f>
        <v>-0.67036589385781786</v>
      </c>
      <c r="O26" s="14"/>
      <c r="P26" s="1">
        <f>SUM(OSRRefP22_3x_0)</f>
        <v>30</v>
      </c>
      <c r="Q26" s="1"/>
      <c r="R26" s="5">
        <f t="shared" ref="R26:R27" si="12">IF(P$12=0,0,P26/P$12)</f>
        <v>0</v>
      </c>
      <c r="S26" s="1"/>
      <c r="T26" s="1">
        <f>SUM(OSRRefT22_3x_0)</f>
        <v>91.01</v>
      </c>
      <c r="U26" s="1"/>
      <c r="V26" s="5">
        <f t="shared" ref="V26:V27" si="13">IF(T$12=0,0,T26/T$12)</f>
        <v>0</v>
      </c>
      <c r="W26" s="1"/>
      <c r="X26" s="1">
        <f t="shared" ref="X26:X27" si="14">+P26-T26</f>
        <v>-61.010000000000005</v>
      </c>
      <c r="Y26" s="1"/>
      <c r="Z26" s="5">
        <f t="shared" ref="Z26:Z27" si="15">IF(T26=0,0,X26/T26)</f>
        <v>-0.67036589385781786</v>
      </c>
    </row>
    <row r="27" spans="1:26" s="24" customFormat="1" hidden="1" outlineLevel="2" x14ac:dyDescent="0.3">
      <c r="A27" s="27"/>
      <c r="B27" s="12" t="str">
        <f>CONCATENATE("          ", "6309", " - ", "TELEPHONE")</f>
        <v xml:space="preserve">          6309 - TELEPHONE</v>
      </c>
      <c r="C27" s="12"/>
      <c r="D27" s="8">
        <v>30</v>
      </c>
      <c r="E27" s="3"/>
      <c r="F27" s="7">
        <f t="shared" si="8"/>
        <v>0</v>
      </c>
      <c r="G27" s="3"/>
      <c r="H27" s="8">
        <v>91.01</v>
      </c>
      <c r="I27" s="3"/>
      <c r="J27" s="7">
        <f t="shared" si="9"/>
        <v>0</v>
      </c>
      <c r="K27" s="3"/>
      <c r="L27" s="8">
        <f t="shared" si="10"/>
        <v>-61.010000000000005</v>
      </c>
      <c r="M27" s="3"/>
      <c r="N27" s="7">
        <f t="shared" si="11"/>
        <v>-0.67036589385781786</v>
      </c>
      <c r="O27" s="12"/>
      <c r="P27" s="8">
        <v>30</v>
      </c>
      <c r="Q27" s="3"/>
      <c r="R27" s="7">
        <f t="shared" si="12"/>
        <v>0</v>
      </c>
      <c r="S27" s="3"/>
      <c r="T27" s="8">
        <v>91.01</v>
      </c>
      <c r="U27" s="3"/>
      <c r="V27" s="7">
        <f t="shared" si="13"/>
        <v>0</v>
      </c>
      <c r="W27" s="3"/>
      <c r="X27" s="8">
        <f t="shared" si="14"/>
        <v>-61.010000000000005</v>
      </c>
      <c r="Y27" s="3"/>
      <c r="Z27" s="7">
        <f t="shared" si="15"/>
        <v>-0.67036589385781786</v>
      </c>
    </row>
    <row r="28" spans="1:26" s="53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292</v>
      </c>
      <c r="C29" s="10"/>
      <c r="D29" s="4">
        <f>SUM(0)</f>
        <v>0</v>
      </c>
      <c r="E29" s="4"/>
      <c r="F29" s="11">
        <f>IF(D$12=0,0,D29/D$12)</f>
        <v>0</v>
      </c>
      <c r="G29" s="4"/>
      <c r="H29" s="4">
        <f>SUM(0)</f>
        <v>0</v>
      </c>
      <c r="I29" s="4"/>
      <c r="J29" s="11">
        <f>IF(H$12=0,0,H29/H$12)</f>
        <v>0</v>
      </c>
      <c r="K29" s="4"/>
      <c r="L29" s="4">
        <f>+D29-H29</f>
        <v>0</v>
      </c>
      <c r="M29" s="4"/>
      <c r="N29" s="11">
        <f>IF(H29=0,0,L29/H29)</f>
        <v>0</v>
      </c>
      <c r="O29" s="10"/>
      <c r="P29" s="4">
        <f>SUM(0)</f>
        <v>0</v>
      </c>
      <c r="Q29" s="4"/>
      <c r="R29" s="11">
        <f>IF(P$12=0,0,P29/P$12)</f>
        <v>0</v>
      </c>
      <c r="S29" s="4"/>
      <c r="T29" s="4">
        <f>SUM(0)</f>
        <v>0</v>
      </c>
      <c r="U29" s="4"/>
      <c r="V29" s="11">
        <f>IF(T$12=0,0,T29/T$12)</f>
        <v>0</v>
      </c>
      <c r="W29" s="4"/>
      <c r="X29" s="4">
        <f>+P29-T29</f>
        <v>0</v>
      </c>
      <c r="Y29" s="4"/>
      <c r="Z29" s="11">
        <f>IF(T29=0,0,X29/T29)</f>
        <v>0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x14ac:dyDescent="0.3">
      <c r="A31" s="10"/>
      <c r="B31" s="26" t="s">
        <v>276</v>
      </c>
      <c r="C31" s="26"/>
      <c r="D31" s="20">
        <f>+D16-D18+D29</f>
        <v>-770.79000000000008</v>
      </c>
      <c r="E31" s="13"/>
      <c r="F31" s="21">
        <f>IF(D$12=0,0,D31/D$12)</f>
        <v>0</v>
      </c>
      <c r="G31" s="13"/>
      <c r="H31" s="20">
        <f>+H16-H18+H29</f>
        <v>-347.4</v>
      </c>
      <c r="I31" s="13"/>
      <c r="J31" s="21">
        <f>IF(H$12=0,0,H31/H$12)</f>
        <v>0</v>
      </c>
      <c r="K31" s="16"/>
      <c r="L31" s="20">
        <f>+D31-H31</f>
        <v>-423.3900000000001</v>
      </c>
      <c r="M31" s="16"/>
      <c r="N31" s="21">
        <f>IF(H31=0,0,L31/H31)</f>
        <v>1.2187392055267707</v>
      </c>
      <c r="O31" s="25"/>
      <c r="P31" s="20">
        <f>+P16-P18+P29</f>
        <v>-770.79000000000008</v>
      </c>
      <c r="Q31" s="13"/>
      <c r="R31" s="21">
        <f>IF(P$12=0,0,P31/P$12)</f>
        <v>0</v>
      </c>
      <c r="S31" s="13"/>
      <c r="T31" s="20">
        <f>+T16-T18+T29</f>
        <v>-347.4</v>
      </c>
      <c r="U31" s="13"/>
      <c r="V31" s="21">
        <f>IF(T$12=0,0,T31/T$12)</f>
        <v>0</v>
      </c>
      <c r="W31" s="16"/>
      <c r="X31" s="20">
        <f>+P31-T31</f>
        <v>-423.3900000000001</v>
      </c>
      <c r="Y31" s="16"/>
      <c r="Z31" s="21">
        <f>IF(T31=0,0,X31/T31)</f>
        <v>1.2187392055267707</v>
      </c>
    </row>
    <row r="32" spans="1:26" x14ac:dyDescent="0.3">
      <c r="A32" s="9"/>
      <c r="B32" s="10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127</v>
      </c>
      <c r="C33" s="10"/>
      <c r="D33" s="4"/>
      <c r="E33" s="4"/>
      <c r="F33" s="11">
        <f>IF(D$12=0,0,D33/D$12)</f>
        <v>0</v>
      </c>
      <c r="G33" s="4"/>
      <c r="H33" s="4"/>
      <c r="I33" s="4"/>
      <c r="J33" s="11">
        <f>IF(H$12=0,0,H33/H$12)</f>
        <v>0</v>
      </c>
      <c r="K33" s="4"/>
      <c r="L33" s="4">
        <f>+D33-H33</f>
        <v>0</v>
      </c>
      <c r="M33" s="4"/>
      <c r="N33" s="11">
        <f>IF(H33=0,0,L33/H33)</f>
        <v>0</v>
      </c>
      <c r="O33" s="10"/>
      <c r="P33" s="4"/>
      <c r="Q33" s="4"/>
      <c r="R33" s="11">
        <f>IF(P$12=0,0,P33/P$12)</f>
        <v>0</v>
      </c>
      <c r="S33" s="4"/>
      <c r="T33" s="4"/>
      <c r="U33" s="4"/>
      <c r="V33" s="11">
        <f>IF(T$12=0,0,T33/T$12)</f>
        <v>0</v>
      </c>
      <c r="W33" s="4"/>
      <c r="X33" s="4">
        <f>+P33-T33</f>
        <v>0</v>
      </c>
      <c r="Y33" s="4"/>
      <c r="Z33" s="11">
        <f>IF(T33=0,0,X33/T33)</f>
        <v>0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125</v>
      </c>
      <c r="C35" s="26"/>
      <c r="D35" s="36">
        <f>+D31-D33</f>
        <v>-770.79000000000008</v>
      </c>
      <c r="E35" s="13"/>
      <c r="F35" s="34">
        <f>IF(D$12=0,0,D35/D$12)</f>
        <v>0</v>
      </c>
      <c r="G35" s="13"/>
      <c r="H35" s="36">
        <f>+H31-H33</f>
        <v>-347.4</v>
      </c>
      <c r="I35" s="13"/>
      <c r="J35" s="34">
        <f>IF(H$12=0,0,H35/H$12)</f>
        <v>0</v>
      </c>
      <c r="K35" s="16"/>
      <c r="L35" s="36">
        <f>D35-H35</f>
        <v>-423.3900000000001</v>
      </c>
      <c r="M35" s="16"/>
      <c r="N35" s="34">
        <f>IF(H35=0,0,L35/H35)</f>
        <v>1.2187392055267707</v>
      </c>
      <c r="O35" s="25"/>
      <c r="P35" s="36">
        <f>+P31-P33</f>
        <v>-770.79000000000008</v>
      </c>
      <c r="Q35" s="13"/>
      <c r="R35" s="34">
        <f>IF(P$12=0,0,P35/P$12)</f>
        <v>0</v>
      </c>
      <c r="S35" s="13"/>
      <c r="T35" s="36">
        <f>+T31-T33</f>
        <v>-347.4</v>
      </c>
      <c r="U35" s="13"/>
      <c r="V35" s="34">
        <f>IF(T$12=0,0,T35/T$12)</f>
        <v>0</v>
      </c>
      <c r="W35" s="16"/>
      <c r="X35" s="36">
        <f>P35-T35</f>
        <v>-423.3900000000001</v>
      </c>
      <c r="Y35" s="16"/>
      <c r="Z35" s="34">
        <f>IF(T35=0,0,X35/T35)</f>
        <v>1.2187392055267707</v>
      </c>
    </row>
    <row r="36" spans="1:26" ht="15" thickTop="1" x14ac:dyDescent="0.3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x14ac:dyDescent="0.3">
      <c r="A37" s="9"/>
      <c r="B37" s="9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ht="15" thickBot="1" x14ac:dyDescent="0.35">
      <c r="A38" s="10"/>
      <c r="B38" s="26" t="s">
        <v>293</v>
      </c>
      <c r="C38" s="26"/>
      <c r="D38" s="31">
        <f>SUM(D35:D37)</f>
        <v>-770.79000000000008</v>
      </c>
      <c r="E38" s="13"/>
      <c r="F38" s="33">
        <f>IF(D$12=0,0,D38/D$12)</f>
        <v>0</v>
      </c>
      <c r="G38" s="13"/>
      <c r="H38" s="31">
        <f>SUM(H35:H37)</f>
        <v>-347.4</v>
      </c>
      <c r="I38" s="13"/>
      <c r="J38" s="33">
        <f>IF(H$12=0,0,H38/H$12)</f>
        <v>0</v>
      </c>
      <c r="K38" s="16"/>
      <c r="L38" s="31">
        <f>+D38-H38</f>
        <v>-423.3900000000001</v>
      </c>
      <c r="M38" s="16"/>
      <c r="N38" s="33">
        <f>IF(H38=0,0,L38/H38)</f>
        <v>1.2187392055267707</v>
      </c>
      <c r="O38" s="25"/>
      <c r="P38" s="31">
        <f>SUM(P35:P37)</f>
        <v>-770.79000000000008</v>
      </c>
      <c r="Q38" s="13"/>
      <c r="R38" s="33">
        <f>IF(P$12=0,0,P38/P$12)</f>
        <v>0</v>
      </c>
      <c r="S38" s="13"/>
      <c r="T38" s="31">
        <f>SUM(T35:T37)</f>
        <v>-347.4</v>
      </c>
      <c r="U38" s="13"/>
      <c r="V38" s="33">
        <f>IF(T$12=0,0,T38/T$12)</f>
        <v>0</v>
      </c>
      <c r="W38" s="16"/>
      <c r="X38" s="31">
        <f>+P38-T38</f>
        <v>-423.3900000000001</v>
      </c>
      <c r="Y38" s="16"/>
      <c r="Z38" s="33">
        <f>IF(T38=0,0,X38/T38)</f>
        <v>1.2187392055267707</v>
      </c>
    </row>
    <row r="39" spans="1:26" ht="15" thickTop="1" x14ac:dyDescent="0.3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9">
        <v>44462.666945868055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57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A42" s="9"/>
      <c r="B42" s="61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3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6" si="0">+D12-H12</f>
        <v>0</v>
      </c>
      <c r="M12" s="4"/>
      <c r="N12" s="11">
        <f t="shared" ref="N12:N16" si="1">IF(H12=0,0,L12/H12)</f>
        <v>0</v>
      </c>
      <c r="O12" s="10"/>
      <c r="P12" s="4">
        <f>SUM(OSRRefP13x_0)</f>
        <v>0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6" si="2">+P12-T12</f>
        <v>0</v>
      </c>
      <c r="Y12" s="4"/>
      <c r="Z12" s="11">
        <f t="shared" ref="Z12:Z16" si="3">IF(T12=0,0,X12/T12)</f>
        <v>0</v>
      </c>
    </row>
    <row r="13" spans="1:26" s="24" customFormat="1" hidden="1" outlineLevel="1" x14ac:dyDescent="0.3">
      <c r="A13" s="50"/>
      <c r="B13" s="12" t="str">
        <f>CONCATENATE("          ", "4034", " - ", "TAXABLE SALES-SODA")</f>
        <v xml:space="preserve">          4034 - TAXABLE SALES-SODA</v>
      </c>
      <c r="C13" s="12"/>
      <c r="D13" s="3">
        <f t="shared" ref="D13:D16" si="4">0</f>
        <v>0</v>
      </c>
      <c r="E13" s="3"/>
      <c r="F13" s="22"/>
      <c r="G13" s="3"/>
      <c r="H13" s="3">
        <f t="shared" ref="H13:H16" si="5">0</f>
        <v>0</v>
      </c>
      <c r="I13" s="3"/>
      <c r="J13" s="22"/>
      <c r="K13" s="3"/>
      <c r="L13" s="3">
        <f t="shared" si="0"/>
        <v>0</v>
      </c>
      <c r="M13" s="3"/>
      <c r="N13" s="22">
        <f t="shared" si="1"/>
        <v>0</v>
      </c>
      <c r="O13" s="12"/>
      <c r="P13" s="3">
        <f t="shared" ref="P13:P16" si="6">0</f>
        <v>0</v>
      </c>
      <c r="Q13" s="3"/>
      <c r="R13" s="22"/>
      <c r="S13" s="3"/>
      <c r="T13" s="3">
        <f t="shared" ref="T13:T16" si="7">0</f>
        <v>0</v>
      </c>
      <c r="U13" s="3"/>
      <c r="V13" s="22"/>
      <c r="W13" s="3"/>
      <c r="X13" s="3">
        <f t="shared" si="2"/>
        <v>0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"4132", " - ", "NON-TAXABLE SALES-JUICE")</f>
        <v xml:space="preserve">          4132 - NON-TAXABLE SALES-JUICE</v>
      </c>
      <c r="C14" s="12"/>
      <c r="D14" s="3">
        <f t="shared" si="4"/>
        <v>0</v>
      </c>
      <c r="E14" s="3"/>
      <c r="F14" s="22"/>
      <c r="G14" s="3"/>
      <c r="H14" s="3">
        <f t="shared" si="5"/>
        <v>0</v>
      </c>
      <c r="I14" s="3"/>
      <c r="J14" s="22"/>
      <c r="K14" s="3"/>
      <c r="L14" s="3">
        <f t="shared" si="0"/>
        <v>0</v>
      </c>
      <c r="M14" s="3"/>
      <c r="N14" s="22">
        <f t="shared" si="1"/>
        <v>0</v>
      </c>
      <c r="O14" s="12"/>
      <c r="P14" s="3">
        <f t="shared" si="6"/>
        <v>0</v>
      </c>
      <c r="Q14" s="3"/>
      <c r="R14" s="22"/>
      <c r="S14" s="3"/>
      <c r="T14" s="3">
        <f t="shared" si="7"/>
        <v>0</v>
      </c>
      <c r="U14" s="3"/>
      <c r="V14" s="22"/>
      <c r="W14" s="3"/>
      <c r="X14" s="3">
        <f t="shared" si="2"/>
        <v>0</v>
      </c>
      <c r="Y14" s="3"/>
      <c r="Z14" s="22">
        <f t="shared" si="3"/>
        <v>0</v>
      </c>
    </row>
    <row r="15" spans="1:26" s="24" customFormat="1" hidden="1" outlineLevel="1" x14ac:dyDescent="0.3">
      <c r="A15" s="50"/>
      <c r="B15" s="12" t="str">
        <f>CONCATENATE("          ", "4134", " - ", "NON-TAXABLE SALES-SODA")</f>
        <v xml:space="preserve">          4134 - NON-TAXABLE SALES-SODA</v>
      </c>
      <c r="C15" s="12"/>
      <c r="D15" s="3">
        <f t="shared" si="4"/>
        <v>0</v>
      </c>
      <c r="E15" s="3"/>
      <c r="F15" s="22"/>
      <c r="G15" s="3"/>
      <c r="H15" s="3">
        <f t="shared" si="5"/>
        <v>0</v>
      </c>
      <c r="I15" s="3"/>
      <c r="J15" s="22"/>
      <c r="K15" s="3"/>
      <c r="L15" s="3">
        <f t="shared" si="0"/>
        <v>0</v>
      </c>
      <c r="M15" s="3"/>
      <c r="N15" s="22">
        <f t="shared" si="1"/>
        <v>0</v>
      </c>
      <c r="O15" s="12"/>
      <c r="P15" s="3">
        <f t="shared" si="6"/>
        <v>0</v>
      </c>
      <c r="Q15" s="3"/>
      <c r="R15" s="22"/>
      <c r="S15" s="3"/>
      <c r="T15" s="3">
        <f t="shared" si="7"/>
        <v>0</v>
      </c>
      <c r="U15" s="3"/>
      <c r="V15" s="22"/>
      <c r="W15" s="3"/>
      <c r="X15" s="3">
        <f t="shared" si="2"/>
        <v>0</v>
      </c>
      <c r="Y15" s="3"/>
      <c r="Z15" s="22">
        <f t="shared" si="3"/>
        <v>0</v>
      </c>
    </row>
    <row r="16" spans="1:26" s="24" customFormat="1" hidden="1" outlineLevel="1" x14ac:dyDescent="0.3">
      <c r="A16" s="50"/>
      <c r="B16" s="12" t="str">
        <f>CONCATENATE("          ", "4137", " - ", "NON-TAXABLE SALES-WATER")</f>
        <v xml:space="preserve">          4137 - NON-TAXABLE SALES-WATER</v>
      </c>
      <c r="C16" s="12"/>
      <c r="D16" s="3">
        <f t="shared" si="4"/>
        <v>0</v>
      </c>
      <c r="E16" s="3"/>
      <c r="F16" s="22"/>
      <c r="G16" s="3"/>
      <c r="H16" s="3">
        <f t="shared" si="5"/>
        <v>0</v>
      </c>
      <c r="I16" s="3"/>
      <c r="J16" s="22"/>
      <c r="K16" s="3"/>
      <c r="L16" s="3">
        <f t="shared" si="0"/>
        <v>0</v>
      </c>
      <c r="M16" s="3"/>
      <c r="N16" s="22">
        <f t="shared" si="1"/>
        <v>0</v>
      </c>
      <c r="O16" s="12"/>
      <c r="P16" s="3">
        <f t="shared" si="6"/>
        <v>0</v>
      </c>
      <c r="Q16" s="3"/>
      <c r="R16" s="22"/>
      <c r="S16" s="3"/>
      <c r="T16" s="3">
        <f t="shared" si="7"/>
        <v>0</v>
      </c>
      <c r="U16" s="3"/>
      <c r="V16" s="22"/>
      <c r="W16" s="3"/>
      <c r="X16" s="3">
        <f t="shared" si="2"/>
        <v>0</v>
      </c>
      <c r="Y16" s="3"/>
      <c r="Z16" s="22">
        <f t="shared" si="3"/>
        <v>0</v>
      </c>
    </row>
    <row r="17" spans="1:26" x14ac:dyDescent="0.3">
      <c r="A17" s="9"/>
      <c r="B17" s="10"/>
      <c r="C17" s="9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5" t="s">
        <v>256</v>
      </c>
      <c r="C18" s="10"/>
      <c r="D18" s="4">
        <f>SUM(0)</f>
        <v>0</v>
      </c>
      <c r="E18" s="4"/>
      <c r="F18" s="11">
        <f>IF(D$12=0,0,D18/D$12)</f>
        <v>0</v>
      </c>
      <c r="G18" s="4"/>
      <c r="H18" s="4">
        <f>SUM(0)</f>
        <v>0</v>
      </c>
      <c r="I18" s="4"/>
      <c r="J18" s="11">
        <f>IF(H$12=0,0,H18/H$12)</f>
        <v>0</v>
      </c>
      <c r="K18" s="4"/>
      <c r="L18" s="4">
        <f>+D18-H18</f>
        <v>0</v>
      </c>
      <c r="M18" s="4"/>
      <c r="N18" s="11">
        <f>IF(H18=0,0,L18/H18)</f>
        <v>0</v>
      </c>
      <c r="O18" s="10"/>
      <c r="P18" s="4">
        <f>SUM(0)</f>
        <v>0</v>
      </c>
      <c r="Q18" s="4"/>
      <c r="R18" s="11">
        <f>IF(P$12=0,0,P18/P$12)</f>
        <v>0</v>
      </c>
      <c r="S18" s="4"/>
      <c r="T18" s="4">
        <f>SUM(0)</f>
        <v>0</v>
      </c>
      <c r="U18" s="4"/>
      <c r="V18" s="11">
        <f>IF(T$12=0,0,T18/T$12)</f>
        <v>0</v>
      </c>
      <c r="W18" s="4"/>
      <c r="X18" s="4">
        <f>+P18-T18</f>
        <v>0</v>
      </c>
      <c r="Y18" s="4"/>
      <c r="Z18" s="11">
        <f>IF(T18=0,0,X18/T18)</f>
        <v>0</v>
      </c>
    </row>
    <row r="19" spans="1:26" x14ac:dyDescent="0.3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3">
      <c r="A20" s="10"/>
      <c r="B20" s="26" t="s">
        <v>107</v>
      </c>
      <c r="C20" s="26"/>
      <c r="D20" s="20">
        <f>D12-D18</f>
        <v>0</v>
      </c>
      <c r="E20" s="13"/>
      <c r="F20" s="21">
        <f>IF(D$12=0,0,D20/D$12)</f>
        <v>0</v>
      </c>
      <c r="G20" s="13"/>
      <c r="H20" s="20">
        <f>H12-H18</f>
        <v>0</v>
      </c>
      <c r="I20" s="13"/>
      <c r="J20" s="21">
        <f>IF(H$12=0,0,H20/H$12)</f>
        <v>0</v>
      </c>
      <c r="K20" s="16"/>
      <c r="L20" s="20">
        <f>+D20-H20</f>
        <v>0</v>
      </c>
      <c r="M20" s="16"/>
      <c r="N20" s="21">
        <f>IF(H20=0,0,L20/H20)</f>
        <v>0</v>
      </c>
      <c r="O20" s="25"/>
      <c r="P20" s="20">
        <f>P12-P18</f>
        <v>0</v>
      </c>
      <c r="Q20" s="13"/>
      <c r="R20" s="21">
        <f>IF(P$12=0,0,P20/P$12)</f>
        <v>0</v>
      </c>
      <c r="S20" s="13"/>
      <c r="T20" s="20">
        <f>T12-T18</f>
        <v>0</v>
      </c>
      <c r="U20" s="13"/>
      <c r="V20" s="21">
        <f>IF(T$12=0,0,T20/T$12)</f>
        <v>0</v>
      </c>
      <c r="W20" s="16"/>
      <c r="X20" s="20">
        <f>+P20-T20</f>
        <v>0</v>
      </c>
      <c r="Y20" s="16"/>
      <c r="Z20" s="21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19">
        <f>SUM(OSRRefD22x_0)</f>
        <v>-47.7</v>
      </c>
      <c r="E22" s="19"/>
      <c r="F22" s="35">
        <f t="shared" ref="F22:F31" si="8">IF(D$12=0,0,D22/D$12)</f>
        <v>0</v>
      </c>
      <c r="G22" s="19"/>
      <c r="H22" s="19">
        <f>SUM(OSRRefH22x_0)</f>
        <v>9677.16</v>
      </c>
      <c r="I22" s="19"/>
      <c r="J22" s="35">
        <f t="shared" ref="J22:J31" si="9">IF(H$12=0,0,H22/H$12)</f>
        <v>0</v>
      </c>
      <c r="K22" s="4"/>
      <c r="L22" s="19">
        <f t="shared" ref="L22:L31" si="10">+D22-H22</f>
        <v>-9724.86</v>
      </c>
      <c r="M22" s="4"/>
      <c r="N22" s="35">
        <f t="shared" ref="N22:N31" si="11">IF(H22=0,0,L22/H22)</f>
        <v>-1.0049291321007403</v>
      </c>
      <c r="O22" s="10"/>
      <c r="P22" s="19">
        <f>SUM(OSRRefP22x_0)</f>
        <v>-47.7</v>
      </c>
      <c r="Q22" s="19"/>
      <c r="R22" s="35">
        <f t="shared" ref="R22:R31" si="12">IF(P$12=0,0,P22/P$12)</f>
        <v>0</v>
      </c>
      <c r="S22" s="19"/>
      <c r="T22" s="19">
        <f>SUM(OSRRefT22x_0)</f>
        <v>9677.16</v>
      </c>
      <c r="U22" s="19"/>
      <c r="V22" s="35">
        <f t="shared" ref="V22:V31" si="13">IF(T$12=0,0,T22/T$12)</f>
        <v>0</v>
      </c>
      <c r="W22" s="4"/>
      <c r="X22" s="19">
        <f t="shared" ref="X22:X31" si="14">+P22-T22</f>
        <v>-9724.86</v>
      </c>
      <c r="Y22" s="4"/>
      <c r="Z22" s="35">
        <f t="shared" ref="Z22:Z31" si="15">IF(T22=0,0,X22/T22)</f>
        <v>-1.0049291321007403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8"/>
        <v>0</v>
      </c>
      <c r="G23" s="1"/>
      <c r="H23" s="1">
        <f>SUM(OSRRefH22_0x_0)</f>
        <v>4101.83</v>
      </c>
      <c r="I23" s="1"/>
      <c r="J23" s="5">
        <f t="shared" si="9"/>
        <v>0</v>
      </c>
      <c r="K23" s="1"/>
      <c r="L23" s="1">
        <f t="shared" si="10"/>
        <v>-4101.83</v>
      </c>
      <c r="M23" s="1"/>
      <c r="N23" s="5">
        <f t="shared" si="11"/>
        <v>-1</v>
      </c>
      <c r="O23" s="14"/>
      <c r="P23" s="1">
        <f>SUM(OSRRefP22_0x_0)</f>
        <v>0</v>
      </c>
      <c r="Q23" s="1"/>
      <c r="R23" s="5">
        <f t="shared" si="12"/>
        <v>0</v>
      </c>
      <c r="S23" s="1"/>
      <c r="T23" s="1">
        <f>SUM(OSRRefT22_0x_0)</f>
        <v>4101.83</v>
      </c>
      <c r="U23" s="1"/>
      <c r="V23" s="5">
        <f t="shared" si="13"/>
        <v>0</v>
      </c>
      <c r="W23" s="1"/>
      <c r="X23" s="1">
        <f t="shared" si="14"/>
        <v>-4101.83</v>
      </c>
      <c r="Y23" s="1"/>
      <c r="Z23" s="5">
        <f t="shared" si="15"/>
        <v>-1</v>
      </c>
    </row>
    <row r="24" spans="1:26" s="24" customFormat="1" hidden="1" outlineLevel="2" x14ac:dyDescent="0.3">
      <c r="A24" s="27"/>
      <c r="B24" s="12" t="str">
        <f>CONCATENATE("          ", "6111", " - ", "F.I.C.A.")</f>
        <v xml:space="preserve">          6111 - F.I.C.A.</v>
      </c>
      <c r="C24" s="12"/>
      <c r="D24" s="8"/>
      <c r="E24" s="3"/>
      <c r="F24" s="7">
        <f t="shared" si="8"/>
        <v>0</v>
      </c>
      <c r="G24" s="3"/>
      <c r="H24" s="8">
        <v>383.82</v>
      </c>
      <c r="I24" s="3"/>
      <c r="J24" s="7">
        <f t="shared" si="9"/>
        <v>0</v>
      </c>
      <c r="K24" s="3"/>
      <c r="L24" s="8">
        <f t="shared" si="10"/>
        <v>-383.82</v>
      </c>
      <c r="M24" s="3"/>
      <c r="N24" s="7">
        <f t="shared" si="11"/>
        <v>-1</v>
      </c>
      <c r="O24" s="12"/>
      <c r="P24" s="8"/>
      <c r="Q24" s="3"/>
      <c r="R24" s="7">
        <f t="shared" si="12"/>
        <v>0</v>
      </c>
      <c r="S24" s="3"/>
      <c r="T24" s="8">
        <v>383.82</v>
      </c>
      <c r="U24" s="3"/>
      <c r="V24" s="7">
        <f t="shared" si="13"/>
        <v>0</v>
      </c>
      <c r="W24" s="3"/>
      <c r="X24" s="8">
        <f t="shared" si="14"/>
        <v>-383.82</v>
      </c>
      <c r="Y24" s="3"/>
      <c r="Z24" s="7">
        <f t="shared" si="15"/>
        <v>-1</v>
      </c>
    </row>
    <row r="25" spans="1:26" s="24" customFormat="1" hidden="1" outlineLevel="2" x14ac:dyDescent="0.3">
      <c r="A25" s="27"/>
      <c r="B25" s="12" t="str">
        <f>CONCATENATE("          ", "6112", " - ", "COMPENSATION INSURANCE")</f>
        <v xml:space="preserve">          6112 - COMPENSATION INSURANCE</v>
      </c>
      <c r="C25" s="12"/>
      <c r="D25" s="8"/>
      <c r="E25" s="3"/>
      <c r="F25" s="7">
        <f t="shared" si="8"/>
        <v>0</v>
      </c>
      <c r="G25" s="3"/>
      <c r="H25" s="8">
        <v>92.82</v>
      </c>
      <c r="I25" s="3"/>
      <c r="J25" s="7">
        <f t="shared" si="9"/>
        <v>0</v>
      </c>
      <c r="K25" s="3"/>
      <c r="L25" s="8">
        <f t="shared" si="10"/>
        <v>-92.82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92.82</v>
      </c>
      <c r="U25" s="3"/>
      <c r="V25" s="7">
        <f t="shared" si="13"/>
        <v>0</v>
      </c>
      <c r="W25" s="3"/>
      <c r="X25" s="8">
        <f t="shared" si="14"/>
        <v>-92.82</v>
      </c>
      <c r="Y25" s="3"/>
      <c r="Z25" s="7">
        <f t="shared" si="15"/>
        <v>-1</v>
      </c>
    </row>
    <row r="26" spans="1:26" s="24" customFormat="1" hidden="1" outlineLevel="2" x14ac:dyDescent="0.3">
      <c r="A26" s="27"/>
      <c r="B26" s="12" t="str">
        <f>CONCATENATE("          ", "6113", " - ", "GROUP INSURANCE")</f>
        <v xml:space="preserve">          6113 - GROUP INSURANCE</v>
      </c>
      <c r="C26" s="12"/>
      <c r="D26" s="8"/>
      <c r="E26" s="3"/>
      <c r="F26" s="7">
        <f t="shared" si="8"/>
        <v>0</v>
      </c>
      <c r="G26" s="3"/>
      <c r="H26" s="8">
        <v>2021.26</v>
      </c>
      <c r="I26" s="3"/>
      <c r="J26" s="7">
        <f t="shared" si="9"/>
        <v>0</v>
      </c>
      <c r="K26" s="3"/>
      <c r="L26" s="8">
        <f t="shared" si="10"/>
        <v>-2021.26</v>
      </c>
      <c r="M26" s="3"/>
      <c r="N26" s="7">
        <f t="shared" si="11"/>
        <v>-1</v>
      </c>
      <c r="O26" s="12"/>
      <c r="P26" s="8"/>
      <c r="Q26" s="3"/>
      <c r="R26" s="7">
        <f t="shared" si="12"/>
        <v>0</v>
      </c>
      <c r="S26" s="3"/>
      <c r="T26" s="8">
        <v>2021.26</v>
      </c>
      <c r="U26" s="3"/>
      <c r="V26" s="7">
        <f t="shared" si="13"/>
        <v>0</v>
      </c>
      <c r="W26" s="3"/>
      <c r="X26" s="8">
        <f t="shared" si="14"/>
        <v>-2021.26</v>
      </c>
      <c r="Y26" s="3"/>
      <c r="Z26" s="7">
        <f t="shared" si="15"/>
        <v>-1</v>
      </c>
    </row>
    <row r="27" spans="1:26" s="24" customFormat="1" hidden="1" outlineLevel="2" x14ac:dyDescent="0.3">
      <c r="A27" s="27"/>
      <c r="B27" s="12" t="str">
        <f>CONCATENATE("          ", "6114", " - ", "STATE UNEMPLOYMENT INSURANCE")</f>
        <v xml:space="preserve">          6114 - STATE UNEMPLOYMENT INSURANCE</v>
      </c>
      <c r="C27" s="12"/>
      <c r="D27" s="8"/>
      <c r="E27" s="3"/>
      <c r="F27" s="7">
        <f t="shared" si="8"/>
        <v>0</v>
      </c>
      <c r="G27" s="3"/>
      <c r="H27" s="8">
        <v>13.04</v>
      </c>
      <c r="I27" s="3"/>
      <c r="J27" s="7">
        <f t="shared" si="9"/>
        <v>0</v>
      </c>
      <c r="K27" s="3"/>
      <c r="L27" s="8">
        <f t="shared" si="10"/>
        <v>-13.04</v>
      </c>
      <c r="M27" s="3"/>
      <c r="N27" s="7">
        <f t="shared" si="11"/>
        <v>-1</v>
      </c>
      <c r="O27" s="12"/>
      <c r="P27" s="8"/>
      <c r="Q27" s="3"/>
      <c r="R27" s="7">
        <f t="shared" si="12"/>
        <v>0</v>
      </c>
      <c r="S27" s="3"/>
      <c r="T27" s="8">
        <v>13.04</v>
      </c>
      <c r="U27" s="3"/>
      <c r="V27" s="7">
        <f t="shared" si="13"/>
        <v>0</v>
      </c>
      <c r="W27" s="3"/>
      <c r="X27" s="8">
        <f t="shared" si="14"/>
        <v>-13.04</v>
      </c>
      <c r="Y27" s="3"/>
      <c r="Z27" s="7">
        <f t="shared" si="15"/>
        <v>-1</v>
      </c>
    </row>
    <row r="28" spans="1:26" s="24" customFormat="1" hidden="1" outlineLevel="2" x14ac:dyDescent="0.3">
      <c r="A28" s="27"/>
      <c r="B28" s="12" t="str">
        <f>CONCATENATE("          ", "6115", " - ", "P.E.R.S.")</f>
        <v xml:space="preserve">          6115 - P.E.R.S.</v>
      </c>
      <c r="C28" s="12"/>
      <c r="D28" s="8"/>
      <c r="E28" s="3"/>
      <c r="F28" s="7">
        <f t="shared" si="8"/>
        <v>0</v>
      </c>
      <c r="G28" s="3"/>
      <c r="H28" s="8">
        <v>921.09</v>
      </c>
      <c r="I28" s="3"/>
      <c r="J28" s="7">
        <f t="shared" si="9"/>
        <v>0</v>
      </c>
      <c r="K28" s="3"/>
      <c r="L28" s="8">
        <f t="shared" si="10"/>
        <v>-921.09</v>
      </c>
      <c r="M28" s="3"/>
      <c r="N28" s="7">
        <f t="shared" si="11"/>
        <v>-1</v>
      </c>
      <c r="O28" s="12"/>
      <c r="P28" s="8"/>
      <c r="Q28" s="3"/>
      <c r="R28" s="7">
        <f t="shared" si="12"/>
        <v>0</v>
      </c>
      <c r="S28" s="3"/>
      <c r="T28" s="8">
        <v>921.09</v>
      </c>
      <c r="U28" s="3"/>
      <c r="V28" s="7">
        <f t="shared" si="13"/>
        <v>0</v>
      </c>
      <c r="W28" s="3"/>
      <c r="X28" s="8">
        <f t="shared" si="14"/>
        <v>-921.09</v>
      </c>
      <c r="Y28" s="3"/>
      <c r="Z28" s="7">
        <f t="shared" si="15"/>
        <v>-1</v>
      </c>
    </row>
    <row r="29" spans="1:26" s="24" customFormat="1" hidden="1" outlineLevel="2" x14ac:dyDescent="0.3">
      <c r="A29" s="27"/>
      <c r="B29" s="12" t="str">
        <f>CONCATENATE("          ", "6118", " - ", "VACATION")</f>
        <v xml:space="preserve">          6118 - VACATION</v>
      </c>
      <c r="C29" s="12"/>
      <c r="D29" s="8"/>
      <c r="E29" s="3"/>
      <c r="F29" s="7">
        <f t="shared" si="8"/>
        <v>0</v>
      </c>
      <c r="G29" s="3"/>
      <c r="H29" s="8">
        <v>407.06</v>
      </c>
      <c r="I29" s="3"/>
      <c r="J29" s="7">
        <f t="shared" si="9"/>
        <v>0</v>
      </c>
      <c r="K29" s="3"/>
      <c r="L29" s="8">
        <f t="shared" si="10"/>
        <v>-407.06</v>
      </c>
      <c r="M29" s="3"/>
      <c r="N29" s="7">
        <f t="shared" si="11"/>
        <v>-1</v>
      </c>
      <c r="O29" s="12"/>
      <c r="P29" s="8"/>
      <c r="Q29" s="3"/>
      <c r="R29" s="7">
        <f t="shared" si="12"/>
        <v>0</v>
      </c>
      <c r="S29" s="3"/>
      <c r="T29" s="8">
        <v>407.06</v>
      </c>
      <c r="U29" s="3"/>
      <c r="V29" s="7">
        <f t="shared" si="13"/>
        <v>0</v>
      </c>
      <c r="W29" s="3"/>
      <c r="X29" s="8">
        <f t="shared" si="14"/>
        <v>-407.06</v>
      </c>
      <c r="Y29" s="3"/>
      <c r="Z29" s="7">
        <f t="shared" si="15"/>
        <v>-1</v>
      </c>
    </row>
    <row r="30" spans="1:26" s="24" customFormat="1" hidden="1" outlineLevel="2" x14ac:dyDescent="0.3">
      <c r="A30" s="27"/>
      <c r="B30" s="12" t="str">
        <f>CONCATENATE("          ", "6119", " - ", "SICK LEAVE")</f>
        <v xml:space="preserve">          6119 - SICK LEAVE</v>
      </c>
      <c r="C30" s="12"/>
      <c r="D30" s="8"/>
      <c r="E30" s="3"/>
      <c r="F30" s="7">
        <f t="shared" si="8"/>
        <v>0</v>
      </c>
      <c r="G30" s="3"/>
      <c r="H30" s="8">
        <v>256.76</v>
      </c>
      <c r="I30" s="3"/>
      <c r="J30" s="7">
        <f t="shared" si="9"/>
        <v>0</v>
      </c>
      <c r="K30" s="3"/>
      <c r="L30" s="8">
        <f t="shared" si="10"/>
        <v>-256.76</v>
      </c>
      <c r="M30" s="3"/>
      <c r="N30" s="7">
        <f t="shared" si="11"/>
        <v>-1</v>
      </c>
      <c r="O30" s="12"/>
      <c r="P30" s="8"/>
      <c r="Q30" s="3"/>
      <c r="R30" s="7">
        <f t="shared" si="12"/>
        <v>0</v>
      </c>
      <c r="S30" s="3"/>
      <c r="T30" s="8">
        <v>256.76</v>
      </c>
      <c r="U30" s="3"/>
      <c r="V30" s="7">
        <f t="shared" si="13"/>
        <v>0</v>
      </c>
      <c r="W30" s="3"/>
      <c r="X30" s="8">
        <f t="shared" si="14"/>
        <v>-256.76</v>
      </c>
      <c r="Y30" s="3"/>
      <c r="Z30" s="7">
        <f t="shared" si="15"/>
        <v>-1</v>
      </c>
    </row>
    <row r="31" spans="1:26" s="24" customFormat="1" hidden="1" outlineLevel="2" x14ac:dyDescent="0.3">
      <c r="A31" s="27"/>
      <c r="B31" s="12" t="str">
        <f>CONCATENATE("          ", "6156", " - ", "EMPLOYEE MEALS")</f>
        <v xml:space="preserve">          6156 - EMPLOYEE MEALS</v>
      </c>
      <c r="C31" s="12"/>
      <c r="D31" s="8"/>
      <c r="E31" s="3"/>
      <c r="F31" s="7">
        <f t="shared" si="8"/>
        <v>0</v>
      </c>
      <c r="G31" s="3"/>
      <c r="H31" s="8">
        <v>5.98</v>
      </c>
      <c r="I31" s="3"/>
      <c r="J31" s="7">
        <f t="shared" si="9"/>
        <v>0</v>
      </c>
      <c r="K31" s="3"/>
      <c r="L31" s="8">
        <f t="shared" si="10"/>
        <v>-5.98</v>
      </c>
      <c r="M31" s="3"/>
      <c r="N31" s="7">
        <f t="shared" si="11"/>
        <v>-1</v>
      </c>
      <c r="O31" s="12"/>
      <c r="P31" s="8"/>
      <c r="Q31" s="3"/>
      <c r="R31" s="7">
        <f t="shared" si="12"/>
        <v>0</v>
      </c>
      <c r="S31" s="3"/>
      <c r="T31" s="8">
        <v>5.98</v>
      </c>
      <c r="U31" s="3"/>
      <c r="V31" s="7">
        <f t="shared" si="13"/>
        <v>0</v>
      </c>
      <c r="W31" s="3"/>
      <c r="X31" s="8">
        <f t="shared" si="14"/>
        <v>-5.98</v>
      </c>
      <c r="Y31" s="3"/>
      <c r="Z31" s="7">
        <f t="shared" si="15"/>
        <v>-1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16">IF(D$12=0,0,D32/D$12)</f>
        <v>0</v>
      </c>
      <c r="G32" s="1"/>
      <c r="H32" s="1">
        <f>SUM(OSRRefH22_1x_0)</f>
        <v>5393.03</v>
      </c>
      <c r="I32" s="1"/>
      <c r="J32" s="5">
        <f t="shared" ref="J32:J37" si="17">IF(H$12=0,0,H32/H$12)</f>
        <v>0</v>
      </c>
      <c r="K32" s="1"/>
      <c r="L32" s="1">
        <f t="shared" ref="L32:L37" si="18">+D32-H32</f>
        <v>-5393.03</v>
      </c>
      <c r="M32" s="1"/>
      <c r="N32" s="5">
        <f t="shared" ref="N32:N37" si="19">IF(H32=0,0,L32/H32)</f>
        <v>-1</v>
      </c>
      <c r="O32" s="14"/>
      <c r="P32" s="1">
        <f>SUM(OSRRefP22_1x_0)</f>
        <v>0</v>
      </c>
      <c r="Q32" s="1"/>
      <c r="R32" s="5">
        <f t="shared" ref="R32:R37" si="20">IF(P$12=0,0,P32/P$12)</f>
        <v>0</v>
      </c>
      <c r="S32" s="1"/>
      <c r="T32" s="1">
        <f>SUM(OSRRefT22_1x_0)</f>
        <v>5393.03</v>
      </c>
      <c r="U32" s="1"/>
      <c r="V32" s="5">
        <f t="shared" ref="V32:V37" si="21">IF(T$12=0,0,T32/T$12)</f>
        <v>0</v>
      </c>
      <c r="W32" s="1"/>
      <c r="X32" s="1">
        <f t="shared" ref="X32:X37" si="22">+P32-T32</f>
        <v>-5393.03</v>
      </c>
      <c r="Y32" s="1"/>
      <c r="Z32" s="5">
        <f t="shared" ref="Z32:Z37" si="23">IF(T32=0,0,X32/T32)</f>
        <v>-1</v>
      </c>
    </row>
    <row r="33" spans="1:26" s="24" customFormat="1" hidden="1" outlineLevel="2" x14ac:dyDescent="0.3">
      <c r="A33" s="27"/>
      <c r="B33" s="12" t="str">
        <f>CONCATENATE("          ", "6002", " - ", "STAFF SALARIES")</f>
        <v xml:space="preserve">          6002 - STAFF SALARIES</v>
      </c>
      <c r="C33" s="12"/>
      <c r="D33" s="8"/>
      <c r="E33" s="3"/>
      <c r="F33" s="7">
        <f t="shared" si="16"/>
        <v>0</v>
      </c>
      <c r="G33" s="3"/>
      <c r="H33" s="8">
        <v>5393.03</v>
      </c>
      <c r="I33" s="3"/>
      <c r="J33" s="7">
        <f t="shared" si="17"/>
        <v>0</v>
      </c>
      <c r="K33" s="3"/>
      <c r="L33" s="8">
        <f t="shared" si="18"/>
        <v>-5393.03</v>
      </c>
      <c r="M33" s="3"/>
      <c r="N33" s="7">
        <f t="shared" si="19"/>
        <v>-1</v>
      </c>
      <c r="O33" s="12"/>
      <c r="P33" s="8"/>
      <c r="Q33" s="3"/>
      <c r="R33" s="7">
        <f t="shared" si="20"/>
        <v>0</v>
      </c>
      <c r="S33" s="3"/>
      <c r="T33" s="8">
        <v>5393.03</v>
      </c>
      <c r="U33" s="3"/>
      <c r="V33" s="7">
        <f t="shared" si="21"/>
        <v>0</v>
      </c>
      <c r="W33" s="3"/>
      <c r="X33" s="8">
        <f t="shared" si="22"/>
        <v>-5393.03</v>
      </c>
      <c r="Y33" s="3"/>
      <c r="Z33" s="7">
        <f t="shared" si="23"/>
        <v>-1</v>
      </c>
    </row>
    <row r="34" spans="1:26" s="29" customFormat="1" outlineLevel="1" collapsed="1" x14ac:dyDescent="0.3">
      <c r="A34" s="28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0</v>
      </c>
      <c r="E34" s="1"/>
      <c r="F34" s="5">
        <f t="shared" si="16"/>
        <v>0</v>
      </c>
      <c r="G34" s="1"/>
      <c r="H34" s="1">
        <f>SUM(OSRRefH22_2x_0)</f>
        <v>60</v>
      </c>
      <c r="I34" s="1"/>
      <c r="J34" s="5">
        <f t="shared" si="17"/>
        <v>0</v>
      </c>
      <c r="K34" s="1"/>
      <c r="L34" s="1">
        <f t="shared" si="18"/>
        <v>-60</v>
      </c>
      <c r="M34" s="1"/>
      <c r="N34" s="5">
        <f t="shared" si="19"/>
        <v>-1</v>
      </c>
      <c r="O34" s="14"/>
      <c r="P34" s="1">
        <f>SUM(OSRRefP22_2x_0)</f>
        <v>0</v>
      </c>
      <c r="Q34" s="1"/>
      <c r="R34" s="5">
        <f t="shared" si="20"/>
        <v>0</v>
      </c>
      <c r="S34" s="1"/>
      <c r="T34" s="1">
        <f>SUM(OSRRefT22_2x_0)</f>
        <v>60</v>
      </c>
      <c r="U34" s="1"/>
      <c r="V34" s="5">
        <f t="shared" si="21"/>
        <v>0</v>
      </c>
      <c r="W34" s="1"/>
      <c r="X34" s="1">
        <f t="shared" si="22"/>
        <v>-60</v>
      </c>
      <c r="Y34" s="1"/>
      <c r="Z34" s="5">
        <f t="shared" si="23"/>
        <v>-1</v>
      </c>
    </row>
    <row r="35" spans="1:26" s="24" customFormat="1" hidden="1" outlineLevel="2" x14ac:dyDescent="0.3">
      <c r="A35" s="27"/>
      <c r="B35" s="12" t="str">
        <f>CONCATENATE("          ", "6381", " - ", "BANK/CREDIT CARD FEES")</f>
        <v xml:space="preserve">          6381 - BANK/CREDIT CARD FEES</v>
      </c>
      <c r="C35" s="12"/>
      <c r="D35" s="8"/>
      <c r="E35" s="3"/>
      <c r="F35" s="7">
        <f t="shared" si="16"/>
        <v>0</v>
      </c>
      <c r="G35" s="3"/>
      <c r="H35" s="8">
        <v>60</v>
      </c>
      <c r="I35" s="3"/>
      <c r="J35" s="7">
        <f t="shared" si="17"/>
        <v>0</v>
      </c>
      <c r="K35" s="3"/>
      <c r="L35" s="8">
        <f t="shared" si="18"/>
        <v>-60</v>
      </c>
      <c r="M35" s="3"/>
      <c r="N35" s="7">
        <f t="shared" si="19"/>
        <v>-1</v>
      </c>
      <c r="O35" s="12"/>
      <c r="P35" s="8"/>
      <c r="Q35" s="3"/>
      <c r="R35" s="7">
        <f t="shared" si="20"/>
        <v>0</v>
      </c>
      <c r="S35" s="3"/>
      <c r="T35" s="8">
        <v>60</v>
      </c>
      <c r="U35" s="3"/>
      <c r="V35" s="7">
        <f t="shared" si="21"/>
        <v>0</v>
      </c>
      <c r="W35" s="3"/>
      <c r="X35" s="8">
        <f t="shared" si="22"/>
        <v>-60</v>
      </c>
      <c r="Y35" s="3"/>
      <c r="Z35" s="7">
        <f t="shared" si="23"/>
        <v>-1</v>
      </c>
    </row>
    <row r="36" spans="1:26" s="29" customFormat="1" outlineLevel="1" collapsed="1" x14ac:dyDescent="0.3">
      <c r="A36" s="28"/>
      <c r="B36" s="14" t="str">
        <f>CONCATENATE("     ","Telephone/Data Lines                              ")</f>
        <v xml:space="preserve">     Telephone/Data Lines                              </v>
      </c>
      <c r="C36" s="14"/>
      <c r="D36" s="1">
        <f>SUM(OSRRefD22_3x_0)</f>
        <v>-47.7</v>
      </c>
      <c r="E36" s="1"/>
      <c r="F36" s="5">
        <f t="shared" si="16"/>
        <v>0</v>
      </c>
      <c r="G36" s="1"/>
      <c r="H36" s="1">
        <f>SUM(OSRRefH22_3x_0)</f>
        <v>122.3</v>
      </c>
      <c r="I36" s="1"/>
      <c r="J36" s="5">
        <f t="shared" si="17"/>
        <v>0</v>
      </c>
      <c r="K36" s="1"/>
      <c r="L36" s="1">
        <f t="shared" si="18"/>
        <v>-170</v>
      </c>
      <c r="M36" s="1"/>
      <c r="N36" s="5">
        <f t="shared" si="19"/>
        <v>-1.3900245298446443</v>
      </c>
      <c r="O36" s="14"/>
      <c r="P36" s="1">
        <f>SUM(OSRRefP22_3x_0)</f>
        <v>-47.7</v>
      </c>
      <c r="Q36" s="1"/>
      <c r="R36" s="5">
        <f t="shared" si="20"/>
        <v>0</v>
      </c>
      <c r="S36" s="1"/>
      <c r="T36" s="1">
        <f>SUM(OSRRefT22_3x_0)</f>
        <v>122.3</v>
      </c>
      <c r="U36" s="1"/>
      <c r="V36" s="5">
        <f t="shared" si="21"/>
        <v>0</v>
      </c>
      <c r="W36" s="1"/>
      <c r="X36" s="1">
        <f t="shared" si="22"/>
        <v>-170</v>
      </c>
      <c r="Y36" s="1"/>
      <c r="Z36" s="5">
        <f t="shared" si="23"/>
        <v>-1.3900245298446443</v>
      </c>
    </row>
    <row r="37" spans="1:26" s="24" customFormat="1" hidden="1" outlineLevel="2" x14ac:dyDescent="0.3">
      <c r="A37" s="27"/>
      <c r="B37" s="12" t="str">
        <f>CONCATENATE("          ", "6309", " - ", "TELEPHONE")</f>
        <v xml:space="preserve">          6309 - TELEPHONE</v>
      </c>
      <c r="C37" s="12"/>
      <c r="D37" s="8">
        <v>-47.7</v>
      </c>
      <c r="E37" s="3"/>
      <c r="F37" s="7">
        <f t="shared" si="16"/>
        <v>0</v>
      </c>
      <c r="G37" s="3"/>
      <c r="H37" s="8">
        <v>122.3</v>
      </c>
      <c r="I37" s="3"/>
      <c r="J37" s="7">
        <f t="shared" si="17"/>
        <v>0</v>
      </c>
      <c r="K37" s="3"/>
      <c r="L37" s="8">
        <f t="shared" si="18"/>
        <v>-170</v>
      </c>
      <c r="M37" s="3"/>
      <c r="N37" s="7">
        <f t="shared" si="19"/>
        <v>-1.3900245298446443</v>
      </c>
      <c r="O37" s="12"/>
      <c r="P37" s="8">
        <v>-47.7</v>
      </c>
      <c r="Q37" s="3"/>
      <c r="R37" s="7">
        <f t="shared" si="20"/>
        <v>0</v>
      </c>
      <c r="S37" s="3"/>
      <c r="T37" s="8">
        <v>122.3</v>
      </c>
      <c r="U37" s="3"/>
      <c r="V37" s="7">
        <f t="shared" si="21"/>
        <v>0</v>
      </c>
      <c r="W37" s="3"/>
      <c r="X37" s="8">
        <f t="shared" si="22"/>
        <v>-170</v>
      </c>
      <c r="Y37" s="3"/>
      <c r="Z37" s="7">
        <f t="shared" si="23"/>
        <v>-1.3900245298446443</v>
      </c>
    </row>
    <row r="38" spans="1:26" s="53" customFormat="1" x14ac:dyDescent="0.3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3">
      <c r="A39" s="10"/>
      <c r="B39" s="25" t="s">
        <v>292</v>
      </c>
      <c r="C39" s="10"/>
      <c r="D39" s="4">
        <f>SUM(0)</f>
        <v>0</v>
      </c>
      <c r="E39" s="4"/>
      <c r="F39" s="11">
        <f>IF(D$12=0,0,D39/D$12)</f>
        <v>0</v>
      </c>
      <c r="G39" s="4"/>
      <c r="H39" s="4">
        <f>SUM(0)</f>
        <v>0</v>
      </c>
      <c r="I39" s="4"/>
      <c r="J39" s="11">
        <f>IF(H$12=0,0,H39/H$12)</f>
        <v>0</v>
      </c>
      <c r="K39" s="4"/>
      <c r="L39" s="4">
        <f>+D39-H39</f>
        <v>0</v>
      </c>
      <c r="M39" s="4"/>
      <c r="N39" s="11">
        <f>IF(H39=0,0,L39/H39)</f>
        <v>0</v>
      </c>
      <c r="O39" s="10"/>
      <c r="P39" s="4">
        <f>SUM(0)</f>
        <v>0</v>
      </c>
      <c r="Q39" s="4"/>
      <c r="R39" s="11">
        <f>IF(P$12=0,0,P39/P$12)</f>
        <v>0</v>
      </c>
      <c r="S39" s="4"/>
      <c r="T39" s="4">
        <f>SUM(0)</f>
        <v>0</v>
      </c>
      <c r="U39" s="4"/>
      <c r="V39" s="11">
        <f>IF(T$12=0,0,T39/T$12)</f>
        <v>0</v>
      </c>
      <c r="W39" s="4"/>
      <c r="X39" s="4">
        <f>+P39-T39</f>
        <v>0</v>
      </c>
      <c r="Y39" s="4"/>
      <c r="Z39" s="11">
        <f>IF(T39=0,0,X39/T39)</f>
        <v>0</v>
      </c>
    </row>
    <row r="40" spans="1:26" x14ac:dyDescent="0.3">
      <c r="A40" s="9"/>
      <c r="B40" s="10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10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3" customFormat="1" x14ac:dyDescent="0.3">
      <c r="A41" s="10"/>
      <c r="B41" s="26" t="s">
        <v>276</v>
      </c>
      <c r="C41" s="26"/>
      <c r="D41" s="20">
        <f>+D20-D22+D39</f>
        <v>47.7</v>
      </c>
      <c r="E41" s="13"/>
      <c r="F41" s="21">
        <f>IF(D$12=0,0,D41/D$12)</f>
        <v>0</v>
      </c>
      <c r="G41" s="13"/>
      <c r="H41" s="20">
        <f>+H20-H22+H39</f>
        <v>-9677.16</v>
      </c>
      <c r="I41" s="13"/>
      <c r="J41" s="21">
        <f>IF(H$12=0,0,H41/H$12)</f>
        <v>0</v>
      </c>
      <c r="K41" s="16"/>
      <c r="L41" s="20">
        <f>+D41-H41</f>
        <v>9724.86</v>
      </c>
      <c r="M41" s="16"/>
      <c r="N41" s="21">
        <f>IF(H41=0,0,L41/H41)</f>
        <v>-1.0049291321007403</v>
      </c>
      <c r="O41" s="25"/>
      <c r="P41" s="20">
        <f>+P20-P22+P39</f>
        <v>47.7</v>
      </c>
      <c r="Q41" s="13"/>
      <c r="R41" s="21">
        <f>IF(P$12=0,0,P41/P$12)</f>
        <v>0</v>
      </c>
      <c r="S41" s="13"/>
      <c r="T41" s="20">
        <f>+T20-T22+T39</f>
        <v>-9677.16</v>
      </c>
      <c r="U41" s="13"/>
      <c r="V41" s="21">
        <f>IF(T$12=0,0,T41/T$12)</f>
        <v>0</v>
      </c>
      <c r="W41" s="16"/>
      <c r="X41" s="20">
        <f>+P41-T41</f>
        <v>9724.86</v>
      </c>
      <c r="Y41" s="16"/>
      <c r="Z41" s="21">
        <f>IF(T41=0,0,X41/T41)</f>
        <v>-1.0049291321007403</v>
      </c>
    </row>
    <row r="42" spans="1:26" x14ac:dyDescent="0.3">
      <c r="A42" s="9"/>
      <c r="B42" s="10"/>
      <c r="C42" s="9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s="23" customFormat="1" x14ac:dyDescent="0.3">
      <c r="A43" s="51"/>
      <c r="B43" s="10" t="s">
        <v>127</v>
      </c>
      <c r="C43" s="10"/>
      <c r="D43" s="4"/>
      <c r="E43" s="4"/>
      <c r="F43" s="11">
        <f>IF(D$12=0,0,D43/D$12)</f>
        <v>0</v>
      </c>
      <c r="G43" s="4"/>
      <c r="H43" s="4"/>
      <c r="I43" s="4"/>
      <c r="J43" s="11">
        <f>IF(H$12=0,0,H43/H$12)</f>
        <v>0</v>
      </c>
      <c r="K43" s="4"/>
      <c r="L43" s="4">
        <f>+D43-H43</f>
        <v>0</v>
      </c>
      <c r="M43" s="4"/>
      <c r="N43" s="11">
        <f>IF(H43=0,0,L43/H43)</f>
        <v>0</v>
      </c>
      <c r="O43" s="10"/>
      <c r="P43" s="4"/>
      <c r="Q43" s="4"/>
      <c r="R43" s="11">
        <f>IF(P$12=0,0,P43/P$12)</f>
        <v>0</v>
      </c>
      <c r="S43" s="4"/>
      <c r="T43" s="4"/>
      <c r="U43" s="4"/>
      <c r="V43" s="11">
        <f>IF(T$12=0,0,T43/T$12)</f>
        <v>0</v>
      </c>
      <c r="W43" s="4"/>
      <c r="X43" s="4">
        <f>+P43-T43</f>
        <v>0</v>
      </c>
      <c r="Y43" s="4"/>
      <c r="Z43" s="11">
        <f>IF(T43=0,0,X43/T43)</f>
        <v>0</v>
      </c>
    </row>
    <row r="44" spans="1:26" x14ac:dyDescent="0.3">
      <c r="A44" s="9"/>
      <c r="B44" s="10"/>
      <c r="C44" s="10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10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23" customFormat="1" ht="15" thickBot="1" x14ac:dyDescent="0.35">
      <c r="A45" s="10"/>
      <c r="B45" s="26" t="s">
        <v>125</v>
      </c>
      <c r="C45" s="26"/>
      <c r="D45" s="36">
        <f>+D41-D43</f>
        <v>47.7</v>
      </c>
      <c r="E45" s="13"/>
      <c r="F45" s="34">
        <f>IF(D$12=0,0,D45/D$12)</f>
        <v>0</v>
      </c>
      <c r="G45" s="13"/>
      <c r="H45" s="36">
        <f>+H41-H43</f>
        <v>-9677.16</v>
      </c>
      <c r="I45" s="13"/>
      <c r="J45" s="34">
        <f>IF(H$12=0,0,H45/H$12)</f>
        <v>0</v>
      </c>
      <c r="K45" s="16"/>
      <c r="L45" s="36">
        <f>D45-H45</f>
        <v>9724.86</v>
      </c>
      <c r="M45" s="16"/>
      <c r="N45" s="34">
        <f>IF(H45=0,0,L45/H45)</f>
        <v>-1.0049291321007403</v>
      </c>
      <c r="O45" s="25"/>
      <c r="P45" s="36">
        <f>+P41-P43</f>
        <v>47.7</v>
      </c>
      <c r="Q45" s="13"/>
      <c r="R45" s="34">
        <f>IF(P$12=0,0,P45/P$12)</f>
        <v>0</v>
      </c>
      <c r="S45" s="13"/>
      <c r="T45" s="36">
        <f>+T41-T43</f>
        <v>-9677.16</v>
      </c>
      <c r="U45" s="13"/>
      <c r="V45" s="34">
        <f>IF(T$12=0,0,T45/T$12)</f>
        <v>0</v>
      </c>
      <c r="W45" s="16"/>
      <c r="X45" s="36">
        <f>P45-T45</f>
        <v>9724.86</v>
      </c>
      <c r="Y45" s="16"/>
      <c r="Z45" s="34">
        <f>IF(T45=0,0,X45/T45)</f>
        <v>-1.0049291321007403</v>
      </c>
    </row>
    <row r="46" spans="1:26" ht="15" thickTop="1" x14ac:dyDescent="0.3">
      <c r="A46" s="9"/>
      <c r="B46" s="9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x14ac:dyDescent="0.3">
      <c r="A47" s="9"/>
      <c r="B47" s="9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ht="15" thickBot="1" x14ac:dyDescent="0.35">
      <c r="A48" s="10"/>
      <c r="B48" s="26" t="s">
        <v>293</v>
      </c>
      <c r="C48" s="26"/>
      <c r="D48" s="31">
        <f>SUM(D45:D47)</f>
        <v>47.7</v>
      </c>
      <c r="E48" s="13"/>
      <c r="F48" s="33">
        <f>IF(D$12=0,0,D48/D$12)</f>
        <v>0</v>
      </c>
      <c r="G48" s="13"/>
      <c r="H48" s="31">
        <f>SUM(H45:H47)</f>
        <v>-9677.16</v>
      </c>
      <c r="I48" s="13"/>
      <c r="J48" s="33">
        <f>IF(H$12=0,0,H48/H$12)</f>
        <v>0</v>
      </c>
      <c r="K48" s="16"/>
      <c r="L48" s="31">
        <f>+D48-H48</f>
        <v>9724.86</v>
      </c>
      <c r="M48" s="16"/>
      <c r="N48" s="33">
        <f>IF(H48=0,0,L48/H48)</f>
        <v>-1.0049291321007403</v>
      </c>
      <c r="O48" s="25"/>
      <c r="P48" s="31">
        <f>SUM(P45:P47)</f>
        <v>47.7</v>
      </c>
      <c r="Q48" s="13"/>
      <c r="R48" s="33">
        <f>IF(P$12=0,0,P48/P$12)</f>
        <v>0</v>
      </c>
      <c r="S48" s="13"/>
      <c r="T48" s="31">
        <f>SUM(T45:T47)</f>
        <v>-9677.16</v>
      </c>
      <c r="U48" s="13"/>
      <c r="V48" s="33">
        <f>IF(T$12=0,0,T48/T$12)</f>
        <v>0</v>
      </c>
      <c r="W48" s="16"/>
      <c r="X48" s="31">
        <f>+P48-T48</f>
        <v>9724.86</v>
      </c>
      <c r="Y48" s="16"/>
      <c r="Z48" s="33">
        <f>IF(T48=0,0,X48/T48)</f>
        <v>-1.0049291321007403</v>
      </c>
    </row>
    <row r="49" spans="1:24" ht="15" thickTop="1" x14ac:dyDescent="0.3">
      <c r="A49" s="9"/>
      <c r="C49" s="9"/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3">
      <c r="A50" s="9"/>
      <c r="B50" s="59">
        <v>44462.666945868055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3">
      <c r="A51" s="9"/>
      <c r="B51" s="57" t="s">
        <v>56</v>
      </c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3">
      <c r="A52" s="9"/>
      <c r="B52" s="61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4" x14ac:dyDescent="0.3"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","321", " - ", "Corner Market")</f>
        <v>Department 321 - Corner Market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1184.5100000000002</v>
      </c>
      <c r="E18" s="19"/>
      <c r="F18" s="35">
        <f t="shared" ref="F18:F23" si="0">IF(D$12=0,0,D18/D$12)</f>
        <v>0</v>
      </c>
      <c r="G18" s="19"/>
      <c r="H18" s="19">
        <f>SUM(OSRRefH22x_0)</f>
        <v>5571.05</v>
      </c>
      <c r="I18" s="19"/>
      <c r="J18" s="35">
        <f t="shared" ref="J18:J23" si="1">IF(H$12=0,0,H18/H$12)</f>
        <v>0</v>
      </c>
      <c r="K18" s="4"/>
      <c r="L18" s="19">
        <f t="shared" ref="L18:L23" si="2">+D18-H18</f>
        <v>-4386.54</v>
      </c>
      <c r="M18" s="4"/>
      <c r="N18" s="35">
        <f t="shared" ref="N18:N23" si="3">IF(H18=0,0,L18/H18)</f>
        <v>-0.78738119385035132</v>
      </c>
      <c r="O18" s="10"/>
      <c r="P18" s="19">
        <f>SUM(OSRRefP22x_0)</f>
        <v>1184.5100000000002</v>
      </c>
      <c r="Q18" s="19"/>
      <c r="R18" s="35">
        <f t="shared" ref="R18:R23" si="4">IF(P$12=0,0,P18/P$12)</f>
        <v>0</v>
      </c>
      <c r="S18" s="19"/>
      <c r="T18" s="19">
        <f>SUM(OSRRefT22x_0)</f>
        <v>5571.05</v>
      </c>
      <c r="U18" s="19"/>
      <c r="V18" s="35">
        <f t="shared" ref="V18:V23" si="5">IF(T$12=0,0,T18/T$12)</f>
        <v>0</v>
      </c>
      <c r="W18" s="4"/>
      <c r="X18" s="19">
        <f t="shared" ref="X18:X23" si="6">+P18-T18</f>
        <v>-4386.54</v>
      </c>
      <c r="Y18" s="4"/>
      <c r="Z18" s="35">
        <f t="shared" ref="Z18:Z23" si="7">IF(T18=0,0,X18/T18)</f>
        <v>-0.78738119385035132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407.67999999999995</v>
      </c>
      <c r="I19" s="1"/>
      <c r="J19" s="5">
        <f t="shared" si="1"/>
        <v>0</v>
      </c>
      <c r="K19" s="1"/>
      <c r="L19" s="1">
        <f t="shared" si="2"/>
        <v>-407.67999999999995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407.67999999999995</v>
      </c>
      <c r="U19" s="1"/>
      <c r="V19" s="5">
        <f t="shared" si="5"/>
        <v>0</v>
      </c>
      <c r="W19" s="1"/>
      <c r="X19" s="1">
        <f t="shared" si="6"/>
        <v>-407.67999999999995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>
        <v>159.12</v>
      </c>
      <c r="I20" s="3"/>
      <c r="J20" s="7">
        <f t="shared" si="1"/>
        <v>0</v>
      </c>
      <c r="K20" s="3"/>
      <c r="L20" s="8">
        <f t="shared" si="2"/>
        <v>-159.12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159.12</v>
      </c>
      <c r="U20" s="3"/>
      <c r="V20" s="7">
        <f t="shared" si="5"/>
        <v>0</v>
      </c>
      <c r="W20" s="3"/>
      <c r="X20" s="8">
        <f t="shared" si="6"/>
        <v>-159.12</v>
      </c>
      <c r="Y20" s="3"/>
      <c r="Z20" s="7">
        <f t="shared" si="7"/>
        <v>-1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/>
      <c r="E21" s="3"/>
      <c r="F21" s="7">
        <f t="shared" si="0"/>
        <v>0</v>
      </c>
      <c r="G21" s="3"/>
      <c r="H21" s="8">
        <v>76.959999999999994</v>
      </c>
      <c r="I21" s="3"/>
      <c r="J21" s="7">
        <f t="shared" si="1"/>
        <v>0</v>
      </c>
      <c r="K21" s="3"/>
      <c r="L21" s="8">
        <f t="shared" si="2"/>
        <v>-76.959999999999994</v>
      </c>
      <c r="M21" s="3"/>
      <c r="N21" s="7">
        <f t="shared" si="3"/>
        <v>-1</v>
      </c>
      <c r="O21" s="12"/>
      <c r="P21" s="8"/>
      <c r="Q21" s="3"/>
      <c r="R21" s="7">
        <f t="shared" si="4"/>
        <v>0</v>
      </c>
      <c r="S21" s="3"/>
      <c r="T21" s="8">
        <v>76.959999999999994</v>
      </c>
      <c r="U21" s="3"/>
      <c r="V21" s="7">
        <f t="shared" si="5"/>
        <v>0</v>
      </c>
      <c r="W21" s="3"/>
      <c r="X21" s="8">
        <f t="shared" si="6"/>
        <v>-76.959999999999994</v>
      </c>
      <c r="Y21" s="3"/>
      <c r="Z21" s="7">
        <f t="shared" si="7"/>
        <v>-1</v>
      </c>
    </row>
    <row r="22" spans="1:26" s="24" customFormat="1" hidden="1" outlineLevel="2" x14ac:dyDescent="0.3">
      <c r="A22" s="27"/>
      <c r="B22" s="12" t="str">
        <f>CONCATENATE("          ", "6114", " - ", "STATE UNEMPLOYMENT INSURANCE")</f>
        <v xml:space="preserve">          6114 - STATE UNEMPLOYMENT INSURANCE</v>
      </c>
      <c r="C22" s="12"/>
      <c r="D22" s="8"/>
      <c r="E22" s="3"/>
      <c r="F22" s="7">
        <f t="shared" si="0"/>
        <v>0</v>
      </c>
      <c r="G22" s="3"/>
      <c r="H22" s="8">
        <v>10.82</v>
      </c>
      <c r="I22" s="3"/>
      <c r="J22" s="7">
        <f t="shared" si="1"/>
        <v>0</v>
      </c>
      <c r="K22" s="3"/>
      <c r="L22" s="8">
        <f t="shared" si="2"/>
        <v>-10.82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10.82</v>
      </c>
      <c r="U22" s="3"/>
      <c r="V22" s="7">
        <f t="shared" si="5"/>
        <v>0</v>
      </c>
      <c r="W22" s="3"/>
      <c r="X22" s="8">
        <f t="shared" si="6"/>
        <v>-10.82</v>
      </c>
      <c r="Y22" s="3"/>
      <c r="Z22" s="7">
        <f t="shared" si="7"/>
        <v>-1</v>
      </c>
    </row>
    <row r="23" spans="1:26" s="24" customFormat="1" hidden="1" outlineLevel="2" x14ac:dyDescent="0.3">
      <c r="A23" s="27"/>
      <c r="B23" s="12" t="str">
        <f>CONCATENATE("          ", "6115", " - ", "P.E.R.S.")</f>
        <v xml:space="preserve">          6115 - P.E.R.S.</v>
      </c>
      <c r="C23" s="12"/>
      <c r="D23" s="8"/>
      <c r="E23" s="3"/>
      <c r="F23" s="7">
        <f t="shared" si="0"/>
        <v>0</v>
      </c>
      <c r="G23" s="3"/>
      <c r="H23" s="8">
        <v>160.78</v>
      </c>
      <c r="I23" s="3"/>
      <c r="J23" s="7">
        <f t="shared" si="1"/>
        <v>0</v>
      </c>
      <c r="K23" s="3"/>
      <c r="L23" s="8">
        <f t="shared" si="2"/>
        <v>-160.78</v>
      </c>
      <c r="M23" s="3"/>
      <c r="N23" s="7">
        <f t="shared" si="3"/>
        <v>-1</v>
      </c>
      <c r="O23" s="12"/>
      <c r="P23" s="8"/>
      <c r="Q23" s="3"/>
      <c r="R23" s="7">
        <f t="shared" si="4"/>
        <v>0</v>
      </c>
      <c r="S23" s="3"/>
      <c r="T23" s="8">
        <v>160.78</v>
      </c>
      <c r="U23" s="3"/>
      <c r="V23" s="7">
        <f t="shared" si="5"/>
        <v>0</v>
      </c>
      <c r="W23" s="3"/>
      <c r="X23" s="8">
        <f t="shared" si="6"/>
        <v>-160.78</v>
      </c>
      <c r="Y23" s="3"/>
      <c r="Z23" s="7">
        <f t="shared" si="7"/>
        <v>-1</v>
      </c>
    </row>
    <row r="24" spans="1:26" s="29" customFormat="1" outlineLevel="1" collapsed="1" x14ac:dyDescent="0.3">
      <c r="A24" s="28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ref="F24:F36" si="8">IF(D$12=0,0,D24/D$12)</f>
        <v>0</v>
      </c>
      <c r="G24" s="1"/>
      <c r="H24" s="1">
        <f>SUM(OSRRefH22_1x_0)</f>
        <v>3120</v>
      </c>
      <c r="I24" s="1"/>
      <c r="J24" s="5">
        <f t="shared" ref="J24:J36" si="9">IF(H$12=0,0,H24/H$12)</f>
        <v>0</v>
      </c>
      <c r="K24" s="1"/>
      <c r="L24" s="1">
        <f t="shared" ref="L24:L36" si="10">+D24-H24</f>
        <v>-3120</v>
      </c>
      <c r="M24" s="1"/>
      <c r="N24" s="5">
        <f t="shared" ref="N24:N36" si="11">IF(H24=0,0,L24/H24)</f>
        <v>-1</v>
      </c>
      <c r="O24" s="14"/>
      <c r="P24" s="1">
        <f>SUM(OSRRefP22_1x_0)</f>
        <v>0</v>
      </c>
      <c r="Q24" s="1"/>
      <c r="R24" s="5">
        <f t="shared" ref="R24:R36" si="12">IF(P$12=0,0,P24/P$12)</f>
        <v>0</v>
      </c>
      <c r="S24" s="1"/>
      <c r="T24" s="1">
        <f>SUM(OSRRefT22_1x_0)</f>
        <v>3120</v>
      </c>
      <c r="U24" s="1"/>
      <c r="V24" s="5">
        <f t="shared" ref="V24:V36" si="13">IF(T$12=0,0,T24/T$12)</f>
        <v>0</v>
      </c>
      <c r="W24" s="1"/>
      <c r="X24" s="1">
        <f t="shared" ref="X24:X36" si="14">+P24-T24</f>
        <v>-3120</v>
      </c>
      <c r="Y24" s="1"/>
      <c r="Z24" s="5">
        <f t="shared" ref="Z24:Z36" si="15">IF(T24=0,0,X24/T24)</f>
        <v>-1</v>
      </c>
    </row>
    <row r="25" spans="1:26" s="24" customFormat="1" hidden="1" outlineLevel="2" x14ac:dyDescent="0.3">
      <c r="A25" s="27"/>
      <c r="B25" s="12" t="str">
        <f>CONCATENATE("          ", "6002", " - ", "STAFF SALARIES")</f>
        <v xml:space="preserve">          6002 - STAFF SALARIES</v>
      </c>
      <c r="C25" s="12"/>
      <c r="D25" s="8"/>
      <c r="E25" s="3"/>
      <c r="F25" s="7">
        <f t="shared" si="8"/>
        <v>0</v>
      </c>
      <c r="G25" s="3"/>
      <c r="H25" s="8">
        <v>3120</v>
      </c>
      <c r="I25" s="3"/>
      <c r="J25" s="7">
        <f t="shared" si="9"/>
        <v>0</v>
      </c>
      <c r="K25" s="3"/>
      <c r="L25" s="8">
        <f t="shared" si="10"/>
        <v>-3120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3120</v>
      </c>
      <c r="U25" s="3"/>
      <c r="V25" s="7">
        <f t="shared" si="13"/>
        <v>0</v>
      </c>
      <c r="W25" s="3"/>
      <c r="X25" s="8">
        <f t="shared" si="14"/>
        <v>-3120</v>
      </c>
      <c r="Y25" s="3"/>
      <c r="Z25" s="7">
        <f t="shared" si="15"/>
        <v>-1</v>
      </c>
    </row>
    <row r="26" spans="1:26" s="29" customFormat="1" outlineLevel="1" collapsed="1" x14ac:dyDescent="0.3">
      <c r="A26" s="28"/>
      <c r="B26" s="14" t="str">
        <f>CONCATENATE("     ","Bank/card Fees                                    ")</f>
        <v xml:space="preserve">     Bank/card Fees                                    </v>
      </c>
      <c r="C26" s="14"/>
      <c r="D26" s="1">
        <f>SUM(OSRRefD22_2x_0)</f>
        <v>75.12</v>
      </c>
      <c r="E26" s="1"/>
      <c r="F26" s="5">
        <f t="shared" si="8"/>
        <v>0</v>
      </c>
      <c r="G26" s="1"/>
      <c r="H26" s="1">
        <f>SUM(OSRRefH22_2x_0)</f>
        <v>0</v>
      </c>
      <c r="I26" s="1"/>
      <c r="J26" s="5">
        <f t="shared" si="9"/>
        <v>0</v>
      </c>
      <c r="K26" s="1"/>
      <c r="L26" s="1">
        <f t="shared" si="10"/>
        <v>75.12</v>
      </c>
      <c r="M26" s="1"/>
      <c r="N26" s="5">
        <f t="shared" si="11"/>
        <v>0</v>
      </c>
      <c r="O26" s="14"/>
      <c r="P26" s="1">
        <f>SUM(OSRRefP22_2x_0)</f>
        <v>75.12</v>
      </c>
      <c r="Q26" s="1"/>
      <c r="R26" s="5">
        <f t="shared" si="12"/>
        <v>0</v>
      </c>
      <c r="S26" s="1"/>
      <c r="T26" s="1">
        <f>SUM(OSRRefT22_2x_0)</f>
        <v>0</v>
      </c>
      <c r="U26" s="1"/>
      <c r="V26" s="5">
        <f t="shared" si="13"/>
        <v>0</v>
      </c>
      <c r="W26" s="1"/>
      <c r="X26" s="1">
        <f t="shared" si="14"/>
        <v>75.12</v>
      </c>
      <c r="Y26" s="1"/>
      <c r="Z26" s="5">
        <f t="shared" si="15"/>
        <v>0</v>
      </c>
    </row>
    <row r="27" spans="1:26" s="24" customFormat="1" hidden="1" outlineLevel="2" x14ac:dyDescent="0.3">
      <c r="A27" s="27"/>
      <c r="B27" s="12" t="str">
        <f>CONCATENATE("          ", "6381", " - ", "BANK/CREDIT CARD FEES")</f>
        <v xml:space="preserve">          6381 - BANK/CREDIT CARD FEES</v>
      </c>
      <c r="C27" s="12"/>
      <c r="D27" s="8">
        <v>75.12</v>
      </c>
      <c r="E27" s="3"/>
      <c r="F27" s="7">
        <f t="shared" si="8"/>
        <v>0</v>
      </c>
      <c r="G27" s="3"/>
      <c r="H27" s="8"/>
      <c r="I27" s="3"/>
      <c r="J27" s="7">
        <f t="shared" si="9"/>
        <v>0</v>
      </c>
      <c r="K27" s="3"/>
      <c r="L27" s="8">
        <f t="shared" si="10"/>
        <v>75.12</v>
      </c>
      <c r="M27" s="3"/>
      <c r="N27" s="7">
        <f t="shared" si="11"/>
        <v>0</v>
      </c>
      <c r="O27" s="12"/>
      <c r="P27" s="8">
        <v>75.12</v>
      </c>
      <c r="Q27" s="3"/>
      <c r="R27" s="7">
        <f t="shared" si="12"/>
        <v>0</v>
      </c>
      <c r="S27" s="3"/>
      <c r="T27" s="8"/>
      <c r="U27" s="3"/>
      <c r="V27" s="7">
        <f t="shared" si="13"/>
        <v>0</v>
      </c>
      <c r="W27" s="3"/>
      <c r="X27" s="8">
        <f t="shared" si="14"/>
        <v>75.12</v>
      </c>
      <c r="Y27" s="3"/>
      <c r="Z27" s="7">
        <f t="shared" si="15"/>
        <v>0</v>
      </c>
    </row>
    <row r="28" spans="1:26" s="29" customFormat="1" outlineLevel="1" collapsed="1" x14ac:dyDescent="0.3">
      <c r="A28" s="28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SUM(OSRRefD22_3x_0)</f>
        <v>1075.3900000000001</v>
      </c>
      <c r="E28" s="1"/>
      <c r="F28" s="5">
        <f t="shared" si="8"/>
        <v>0</v>
      </c>
      <c r="G28" s="1"/>
      <c r="H28" s="1">
        <f>SUM(OSRRefH22_3x_0)</f>
        <v>1075.3699999999999</v>
      </c>
      <c r="I28" s="1"/>
      <c r="J28" s="5">
        <f t="shared" si="9"/>
        <v>0</v>
      </c>
      <c r="K28" s="1"/>
      <c r="L28" s="1">
        <f t="shared" si="10"/>
        <v>2.0000000000209184E-2</v>
      </c>
      <c r="M28" s="1"/>
      <c r="N28" s="5">
        <f t="shared" si="11"/>
        <v>1.8598249904878492E-5</v>
      </c>
      <c r="O28" s="14"/>
      <c r="P28" s="1">
        <f>SUM(OSRRefP22_3x_0)</f>
        <v>1075.3900000000001</v>
      </c>
      <c r="Q28" s="1"/>
      <c r="R28" s="5">
        <f t="shared" si="12"/>
        <v>0</v>
      </c>
      <c r="S28" s="1"/>
      <c r="T28" s="1">
        <f>SUM(OSRRefT22_3x_0)</f>
        <v>1075.3699999999999</v>
      </c>
      <c r="U28" s="1"/>
      <c r="V28" s="5">
        <f t="shared" si="13"/>
        <v>0</v>
      </c>
      <c r="W28" s="1"/>
      <c r="X28" s="1">
        <f t="shared" si="14"/>
        <v>2.0000000000209184E-2</v>
      </c>
      <c r="Y28" s="1"/>
      <c r="Z28" s="5">
        <f t="shared" si="15"/>
        <v>1.8598249904878492E-5</v>
      </c>
    </row>
    <row r="29" spans="1:26" s="24" customFormat="1" hidden="1" outlineLevel="2" x14ac:dyDescent="0.3">
      <c r="A29" s="27"/>
      <c r="B29" s="12" t="str">
        <f>CONCATENATE("          ", "6322", " - ", "EQUIPMENT DEPRECIATION EXPENSE")</f>
        <v xml:space="preserve">          6322 - EQUIPMENT DEPRECIATION EXPENSE</v>
      </c>
      <c r="C29" s="12"/>
      <c r="D29" s="8">
        <v>1075.3900000000001</v>
      </c>
      <c r="E29" s="3"/>
      <c r="F29" s="7">
        <f t="shared" si="8"/>
        <v>0</v>
      </c>
      <c r="G29" s="3"/>
      <c r="H29" s="8">
        <v>1075.3699999999999</v>
      </c>
      <c r="I29" s="3"/>
      <c r="J29" s="7">
        <f t="shared" si="9"/>
        <v>0</v>
      </c>
      <c r="K29" s="3"/>
      <c r="L29" s="8">
        <f t="shared" si="10"/>
        <v>2.0000000000209184E-2</v>
      </c>
      <c r="M29" s="3"/>
      <c r="N29" s="7">
        <f t="shared" si="11"/>
        <v>1.8598249904878492E-5</v>
      </c>
      <c r="O29" s="12"/>
      <c r="P29" s="8">
        <v>1075.3900000000001</v>
      </c>
      <c r="Q29" s="3"/>
      <c r="R29" s="7">
        <f t="shared" si="12"/>
        <v>0</v>
      </c>
      <c r="S29" s="3"/>
      <c r="T29" s="8">
        <v>1075.3699999999999</v>
      </c>
      <c r="U29" s="3"/>
      <c r="V29" s="7">
        <f t="shared" si="13"/>
        <v>0</v>
      </c>
      <c r="W29" s="3"/>
      <c r="X29" s="8">
        <f t="shared" si="14"/>
        <v>2.0000000000209184E-2</v>
      </c>
      <c r="Y29" s="3"/>
      <c r="Z29" s="7">
        <f t="shared" si="15"/>
        <v>1.8598249904878492E-5</v>
      </c>
    </row>
    <row r="30" spans="1:26" s="29" customFormat="1" outlineLevel="1" collapsed="1" x14ac:dyDescent="0.3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SUM(OSRRefD22_4x_0)</f>
        <v>0</v>
      </c>
      <c r="E30" s="1"/>
      <c r="F30" s="5">
        <f t="shared" si="8"/>
        <v>0</v>
      </c>
      <c r="G30" s="1"/>
      <c r="H30" s="1">
        <f>SUM(OSRRefH22_4x_0)</f>
        <v>754.55</v>
      </c>
      <c r="I30" s="1"/>
      <c r="J30" s="5">
        <f t="shared" si="9"/>
        <v>0</v>
      </c>
      <c r="K30" s="1"/>
      <c r="L30" s="1">
        <f t="shared" si="10"/>
        <v>-754.55</v>
      </c>
      <c r="M30" s="1"/>
      <c r="N30" s="5">
        <f t="shared" si="11"/>
        <v>-1</v>
      </c>
      <c r="O30" s="14"/>
      <c r="P30" s="1">
        <f>SUM(OSRRefP22_4x_0)</f>
        <v>0</v>
      </c>
      <c r="Q30" s="1"/>
      <c r="R30" s="5">
        <f t="shared" si="12"/>
        <v>0</v>
      </c>
      <c r="S30" s="1"/>
      <c r="T30" s="1">
        <f>SUM(OSRRefT22_4x_0)</f>
        <v>754.55</v>
      </c>
      <c r="U30" s="1"/>
      <c r="V30" s="5">
        <f t="shared" si="13"/>
        <v>0</v>
      </c>
      <c r="W30" s="1"/>
      <c r="X30" s="1">
        <f t="shared" si="14"/>
        <v>-754.55</v>
      </c>
      <c r="Y30" s="1"/>
      <c r="Z30" s="5">
        <f t="shared" si="15"/>
        <v>-1</v>
      </c>
    </row>
    <row r="31" spans="1:26" s="24" customFormat="1" hidden="1" outlineLevel="2" x14ac:dyDescent="0.3">
      <c r="A31" s="27"/>
      <c r="B31" s="12" t="str">
        <f>CONCATENATE("          ", "6279", " - ", "GENERAL EXPENSE")</f>
        <v xml:space="preserve">          6279 - GENERAL EXPENSE</v>
      </c>
      <c r="C31" s="12"/>
      <c r="D31" s="8"/>
      <c r="E31" s="3"/>
      <c r="F31" s="7">
        <f t="shared" si="8"/>
        <v>0</v>
      </c>
      <c r="G31" s="3"/>
      <c r="H31" s="8">
        <v>754.55</v>
      </c>
      <c r="I31" s="3"/>
      <c r="J31" s="7">
        <f t="shared" si="9"/>
        <v>0</v>
      </c>
      <c r="K31" s="3"/>
      <c r="L31" s="8">
        <f t="shared" si="10"/>
        <v>-754.55</v>
      </c>
      <c r="M31" s="3"/>
      <c r="N31" s="7">
        <f t="shared" si="11"/>
        <v>-1</v>
      </c>
      <c r="O31" s="12"/>
      <c r="P31" s="8"/>
      <c r="Q31" s="3"/>
      <c r="R31" s="7">
        <f t="shared" si="12"/>
        <v>0</v>
      </c>
      <c r="S31" s="3"/>
      <c r="T31" s="8">
        <v>754.55</v>
      </c>
      <c r="U31" s="3"/>
      <c r="V31" s="7">
        <f t="shared" si="13"/>
        <v>0</v>
      </c>
      <c r="W31" s="3"/>
      <c r="X31" s="8">
        <f t="shared" si="14"/>
        <v>-754.55</v>
      </c>
      <c r="Y31" s="3"/>
      <c r="Z31" s="7">
        <f t="shared" si="15"/>
        <v>-1</v>
      </c>
    </row>
    <row r="32" spans="1:26" s="29" customFormat="1" outlineLevel="1" collapsed="1" x14ac:dyDescent="0.3">
      <c r="A32" s="28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SUM(OSRRefD22_5x_0)</f>
        <v>0</v>
      </c>
      <c r="E32" s="1"/>
      <c r="F32" s="5">
        <f t="shared" si="8"/>
        <v>0</v>
      </c>
      <c r="G32" s="1"/>
      <c r="H32" s="1">
        <f>SUM(OSRRefH22_5x_0)</f>
        <v>-145.32</v>
      </c>
      <c r="I32" s="1"/>
      <c r="J32" s="5">
        <f t="shared" si="9"/>
        <v>0</v>
      </c>
      <c r="K32" s="1"/>
      <c r="L32" s="1">
        <f t="shared" si="10"/>
        <v>145.32</v>
      </c>
      <c r="M32" s="1"/>
      <c r="N32" s="5">
        <f t="shared" si="11"/>
        <v>-1</v>
      </c>
      <c r="O32" s="14"/>
      <c r="P32" s="1">
        <f>SUM(OSRRefP22_5x_0)</f>
        <v>0</v>
      </c>
      <c r="Q32" s="1"/>
      <c r="R32" s="5">
        <f t="shared" si="12"/>
        <v>0</v>
      </c>
      <c r="S32" s="1"/>
      <c r="T32" s="1">
        <f>SUM(OSRRefT22_5x_0)</f>
        <v>-145.32</v>
      </c>
      <c r="U32" s="1"/>
      <c r="V32" s="5">
        <f t="shared" si="13"/>
        <v>0</v>
      </c>
      <c r="W32" s="1"/>
      <c r="X32" s="1">
        <f t="shared" si="14"/>
        <v>145.32</v>
      </c>
      <c r="Y32" s="1"/>
      <c r="Z32" s="5">
        <f t="shared" si="15"/>
        <v>-1</v>
      </c>
    </row>
    <row r="33" spans="1:26" s="24" customFormat="1" hidden="1" outlineLevel="2" x14ac:dyDescent="0.3">
      <c r="A33" s="27"/>
      <c r="B33" s="12" t="str">
        <f>CONCATENATE("          ", "6285", " - ", "JANITORIAL SERVICES")</f>
        <v xml:space="preserve">          6285 - JANITORIAL SERVICES</v>
      </c>
      <c r="C33" s="12"/>
      <c r="D33" s="8"/>
      <c r="E33" s="3"/>
      <c r="F33" s="7">
        <f t="shared" si="8"/>
        <v>0</v>
      </c>
      <c r="G33" s="3"/>
      <c r="H33" s="8">
        <v>-145.32</v>
      </c>
      <c r="I33" s="3"/>
      <c r="J33" s="7">
        <f t="shared" si="9"/>
        <v>0</v>
      </c>
      <c r="K33" s="3"/>
      <c r="L33" s="8">
        <f t="shared" si="10"/>
        <v>145.32</v>
      </c>
      <c r="M33" s="3"/>
      <c r="N33" s="7">
        <f t="shared" si="11"/>
        <v>-1</v>
      </c>
      <c r="O33" s="12"/>
      <c r="P33" s="8"/>
      <c r="Q33" s="3"/>
      <c r="R33" s="7">
        <f t="shared" si="12"/>
        <v>0</v>
      </c>
      <c r="S33" s="3"/>
      <c r="T33" s="8">
        <v>-145.32</v>
      </c>
      <c r="U33" s="3"/>
      <c r="V33" s="7">
        <f t="shared" si="13"/>
        <v>0</v>
      </c>
      <c r="W33" s="3"/>
      <c r="X33" s="8">
        <f t="shared" si="14"/>
        <v>145.32</v>
      </c>
      <c r="Y33" s="3"/>
      <c r="Z33" s="7">
        <f t="shared" si="15"/>
        <v>-1</v>
      </c>
    </row>
    <row r="34" spans="1:26" s="29" customFormat="1" outlineLevel="1" collapsed="1" x14ac:dyDescent="0.3">
      <c r="A34" s="28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SUM(OSRRefD22_6x_0)</f>
        <v>4.5</v>
      </c>
      <c r="E34" s="1"/>
      <c r="F34" s="5">
        <f t="shared" si="8"/>
        <v>0</v>
      </c>
      <c r="G34" s="1"/>
      <c r="H34" s="1">
        <f>SUM(OSRRefH22_6x_0)</f>
        <v>207.27</v>
      </c>
      <c r="I34" s="1"/>
      <c r="J34" s="5">
        <f t="shared" si="9"/>
        <v>0</v>
      </c>
      <c r="K34" s="1"/>
      <c r="L34" s="1">
        <f t="shared" si="10"/>
        <v>-202.77</v>
      </c>
      <c r="M34" s="1"/>
      <c r="N34" s="5">
        <f t="shared" si="11"/>
        <v>-0.97828918801563181</v>
      </c>
      <c r="O34" s="14"/>
      <c r="P34" s="1">
        <f>SUM(OSRRefP22_6x_0)</f>
        <v>4.5</v>
      </c>
      <c r="Q34" s="1"/>
      <c r="R34" s="5">
        <f t="shared" si="12"/>
        <v>0</v>
      </c>
      <c r="S34" s="1"/>
      <c r="T34" s="1">
        <f>SUM(OSRRefT22_6x_0)</f>
        <v>207.27</v>
      </c>
      <c r="U34" s="1"/>
      <c r="V34" s="5">
        <f t="shared" si="13"/>
        <v>0</v>
      </c>
      <c r="W34" s="1"/>
      <c r="X34" s="1">
        <f t="shared" si="14"/>
        <v>-202.77</v>
      </c>
      <c r="Y34" s="1"/>
      <c r="Z34" s="5">
        <f t="shared" si="15"/>
        <v>-0.97828918801563181</v>
      </c>
    </row>
    <row r="35" spans="1:26" s="24" customFormat="1" hidden="1" outlineLevel="2" x14ac:dyDescent="0.3">
      <c r="A35" s="27"/>
      <c r="B35" s="12" t="str">
        <f>CONCATENATE("          ", "6235", " - ", "COVID-19 EXPENSES")</f>
        <v xml:space="preserve">          6235 - COVID-19 EXPENSES</v>
      </c>
      <c r="C35" s="12"/>
      <c r="D35" s="8"/>
      <c r="E35" s="3"/>
      <c r="F35" s="7">
        <f t="shared" si="8"/>
        <v>0</v>
      </c>
      <c r="G35" s="3"/>
      <c r="H35" s="8">
        <v>207.27</v>
      </c>
      <c r="I35" s="3"/>
      <c r="J35" s="7">
        <f t="shared" si="9"/>
        <v>0</v>
      </c>
      <c r="K35" s="3"/>
      <c r="L35" s="8">
        <f t="shared" si="10"/>
        <v>-207.27</v>
      </c>
      <c r="M35" s="3"/>
      <c r="N35" s="7">
        <f t="shared" si="11"/>
        <v>-1</v>
      </c>
      <c r="O35" s="12"/>
      <c r="P35" s="8"/>
      <c r="Q35" s="3"/>
      <c r="R35" s="7">
        <f t="shared" si="12"/>
        <v>0</v>
      </c>
      <c r="S35" s="3"/>
      <c r="T35" s="8">
        <v>207.27</v>
      </c>
      <c r="U35" s="3"/>
      <c r="V35" s="7">
        <f t="shared" si="13"/>
        <v>0</v>
      </c>
      <c r="W35" s="3"/>
      <c r="X35" s="8">
        <f t="shared" si="14"/>
        <v>-207.27</v>
      </c>
      <c r="Y35" s="3"/>
      <c r="Z35" s="7">
        <f t="shared" si="15"/>
        <v>-1</v>
      </c>
    </row>
    <row r="36" spans="1:26" s="24" customFormat="1" hidden="1" outlineLevel="2" x14ac:dyDescent="0.3">
      <c r="A36" s="27"/>
      <c r="B36" s="12" t="str">
        <f>CONCATENATE("          ", "6241", " - ", "OFFICE EXPENSE")</f>
        <v xml:space="preserve">          6241 - OFFICE EXPENSE</v>
      </c>
      <c r="C36" s="12"/>
      <c r="D36" s="8">
        <v>4.5</v>
      </c>
      <c r="E36" s="3"/>
      <c r="F36" s="7">
        <f t="shared" si="8"/>
        <v>0</v>
      </c>
      <c r="G36" s="3"/>
      <c r="H36" s="8"/>
      <c r="I36" s="3"/>
      <c r="J36" s="7">
        <f t="shared" si="9"/>
        <v>0</v>
      </c>
      <c r="K36" s="3"/>
      <c r="L36" s="8">
        <f t="shared" si="10"/>
        <v>4.5</v>
      </c>
      <c r="M36" s="3"/>
      <c r="N36" s="7">
        <f t="shared" si="11"/>
        <v>0</v>
      </c>
      <c r="O36" s="12"/>
      <c r="P36" s="8">
        <v>4.5</v>
      </c>
      <c r="Q36" s="3"/>
      <c r="R36" s="7">
        <f t="shared" si="12"/>
        <v>0</v>
      </c>
      <c r="S36" s="3"/>
      <c r="T36" s="8"/>
      <c r="U36" s="3"/>
      <c r="V36" s="7">
        <f t="shared" si="13"/>
        <v>0</v>
      </c>
      <c r="W36" s="3"/>
      <c r="X36" s="8">
        <f t="shared" si="14"/>
        <v>4.5</v>
      </c>
      <c r="Y36" s="3"/>
      <c r="Z36" s="7">
        <f t="shared" si="15"/>
        <v>0</v>
      </c>
    </row>
    <row r="37" spans="1:26" s="29" customFormat="1" outlineLevel="1" collapsed="1" x14ac:dyDescent="0.3">
      <c r="A37" s="28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SUM(OSRRefD22_7x_0)</f>
        <v>29.5</v>
      </c>
      <c r="E37" s="1"/>
      <c r="F37" s="5">
        <f t="shared" ref="F37:F40" si="16">IF(D$12=0,0,D37/D$12)</f>
        <v>0</v>
      </c>
      <c r="G37" s="1"/>
      <c r="H37" s="1">
        <f>SUM(OSRRefH22_7x_0)</f>
        <v>101.5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-72</v>
      </c>
      <c r="M37" s="1"/>
      <c r="N37" s="5">
        <f t="shared" ref="N37:N40" si="19">IF(H37=0,0,L37/H37)</f>
        <v>-0.70935960591133007</v>
      </c>
      <c r="O37" s="14"/>
      <c r="P37" s="1">
        <f>SUM(OSRRefP22_7x_0)</f>
        <v>29.5</v>
      </c>
      <c r="Q37" s="1"/>
      <c r="R37" s="5">
        <f t="shared" ref="R37:R40" si="20">IF(P$12=0,0,P37/P$12)</f>
        <v>0</v>
      </c>
      <c r="S37" s="1"/>
      <c r="T37" s="1">
        <f>SUM(OSRRefT22_7x_0)</f>
        <v>101.5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-72</v>
      </c>
      <c r="Y37" s="1"/>
      <c r="Z37" s="5">
        <f t="shared" ref="Z37:Z40" si="23">IF(T37=0,0,X37/T37)</f>
        <v>-0.70935960591133007</v>
      </c>
    </row>
    <row r="38" spans="1:26" s="24" customFormat="1" hidden="1" outlineLevel="2" x14ac:dyDescent="0.3">
      <c r="A38" s="27"/>
      <c r="B38" s="12" t="str">
        <f>CONCATENATE("          ", "6309", " - ", "TELEPHONE")</f>
        <v xml:space="preserve">          6309 - TELEPHONE</v>
      </c>
      <c r="C38" s="12"/>
      <c r="D38" s="8">
        <v>29.5</v>
      </c>
      <c r="E38" s="3"/>
      <c r="F38" s="7">
        <f t="shared" si="16"/>
        <v>0</v>
      </c>
      <c r="G38" s="3"/>
      <c r="H38" s="8">
        <v>101.5</v>
      </c>
      <c r="I38" s="3"/>
      <c r="J38" s="7">
        <f t="shared" si="17"/>
        <v>0</v>
      </c>
      <c r="K38" s="3"/>
      <c r="L38" s="8">
        <f t="shared" si="18"/>
        <v>-72</v>
      </c>
      <c r="M38" s="3"/>
      <c r="N38" s="7">
        <f t="shared" si="19"/>
        <v>-0.70935960591133007</v>
      </c>
      <c r="O38" s="12"/>
      <c r="P38" s="8">
        <v>29.5</v>
      </c>
      <c r="Q38" s="3"/>
      <c r="R38" s="7">
        <f t="shared" si="20"/>
        <v>0</v>
      </c>
      <c r="S38" s="3"/>
      <c r="T38" s="8">
        <v>101.5</v>
      </c>
      <c r="U38" s="3"/>
      <c r="V38" s="7">
        <f t="shared" si="21"/>
        <v>0</v>
      </c>
      <c r="W38" s="3"/>
      <c r="X38" s="8">
        <f t="shared" si="22"/>
        <v>-72</v>
      </c>
      <c r="Y38" s="3"/>
      <c r="Z38" s="7">
        <f t="shared" si="23"/>
        <v>-0.70935960591133007</v>
      </c>
    </row>
    <row r="39" spans="1:26" s="29" customFormat="1" outlineLevel="1" collapsed="1" x14ac:dyDescent="0.3">
      <c r="A39" s="28"/>
      <c r="B39" s="14" t="str">
        <f>CONCATENATE("     ","Utilities                                         ")</f>
        <v xml:space="preserve">     Utilities                                         </v>
      </c>
      <c r="C39" s="14"/>
      <c r="D39" s="1">
        <f>SUM(OSRRefD22_8x_0)</f>
        <v>0</v>
      </c>
      <c r="E39" s="1"/>
      <c r="F39" s="5">
        <f t="shared" si="16"/>
        <v>0</v>
      </c>
      <c r="G39" s="1"/>
      <c r="H39" s="1">
        <f>SUM(OSRRefH22_8x_0)</f>
        <v>50</v>
      </c>
      <c r="I39" s="1"/>
      <c r="J39" s="5">
        <f t="shared" si="17"/>
        <v>0</v>
      </c>
      <c r="K39" s="1"/>
      <c r="L39" s="1">
        <f t="shared" si="18"/>
        <v>-50</v>
      </c>
      <c r="M39" s="1"/>
      <c r="N39" s="5">
        <f t="shared" si="19"/>
        <v>-1</v>
      </c>
      <c r="O39" s="14"/>
      <c r="P39" s="1">
        <f>SUM(OSRRefP22_8x_0)</f>
        <v>0</v>
      </c>
      <c r="Q39" s="1"/>
      <c r="R39" s="5">
        <f t="shared" si="20"/>
        <v>0</v>
      </c>
      <c r="S39" s="1"/>
      <c r="T39" s="1">
        <f>SUM(OSRRefT22_8x_0)</f>
        <v>50</v>
      </c>
      <c r="U39" s="1"/>
      <c r="V39" s="5">
        <f t="shared" si="21"/>
        <v>0</v>
      </c>
      <c r="W39" s="1"/>
      <c r="X39" s="1">
        <f t="shared" si="22"/>
        <v>-50</v>
      </c>
      <c r="Y39" s="1"/>
      <c r="Z39" s="5">
        <f t="shared" si="23"/>
        <v>-1</v>
      </c>
    </row>
    <row r="40" spans="1:26" s="24" customFormat="1" hidden="1" outlineLevel="2" x14ac:dyDescent="0.3">
      <c r="A40" s="27"/>
      <c r="B40" s="12" t="str">
        <f>CONCATENATE("          ", "6274", " - ", "UTILITIES")</f>
        <v xml:space="preserve">          6274 - UTILITIES</v>
      </c>
      <c r="C40" s="12"/>
      <c r="D40" s="8"/>
      <c r="E40" s="3"/>
      <c r="F40" s="7">
        <f t="shared" si="16"/>
        <v>0</v>
      </c>
      <c r="G40" s="3"/>
      <c r="H40" s="8">
        <v>50</v>
      </c>
      <c r="I40" s="3"/>
      <c r="J40" s="7">
        <f t="shared" si="17"/>
        <v>0</v>
      </c>
      <c r="K40" s="3"/>
      <c r="L40" s="8">
        <f t="shared" si="18"/>
        <v>-50</v>
      </c>
      <c r="M40" s="3"/>
      <c r="N40" s="7">
        <f t="shared" si="19"/>
        <v>-1</v>
      </c>
      <c r="O40" s="12"/>
      <c r="P40" s="8"/>
      <c r="Q40" s="3"/>
      <c r="R40" s="7">
        <f t="shared" si="20"/>
        <v>0</v>
      </c>
      <c r="S40" s="3"/>
      <c r="T40" s="8">
        <v>50</v>
      </c>
      <c r="U40" s="3"/>
      <c r="V40" s="7">
        <f t="shared" si="21"/>
        <v>0</v>
      </c>
      <c r="W40" s="3"/>
      <c r="X40" s="8">
        <f t="shared" si="22"/>
        <v>-50</v>
      </c>
      <c r="Y40" s="3"/>
      <c r="Z40" s="7">
        <f t="shared" si="23"/>
        <v>-1</v>
      </c>
    </row>
    <row r="41" spans="1:26" s="53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292</v>
      </c>
      <c r="C42" s="10"/>
      <c r="D42" s="4">
        <f>SUM(0)</f>
        <v>0</v>
      </c>
      <c r="E42" s="4"/>
      <c r="F42" s="11">
        <f>IF(D$12=0,0,D42/D$12)</f>
        <v>0</v>
      </c>
      <c r="G42" s="4"/>
      <c r="H42" s="4">
        <f>SUM(0)</f>
        <v>0</v>
      </c>
      <c r="I42" s="4"/>
      <c r="J42" s="11">
        <f>IF(H$12=0,0,H42/H$12)</f>
        <v>0</v>
      </c>
      <c r="K42" s="4"/>
      <c r="L42" s="4">
        <f>+D42-H42</f>
        <v>0</v>
      </c>
      <c r="M42" s="4"/>
      <c r="N42" s="11">
        <f>IF(H42=0,0,L42/H42)</f>
        <v>0</v>
      </c>
      <c r="O42" s="10"/>
      <c r="P42" s="4">
        <f>SUM(0)</f>
        <v>0</v>
      </c>
      <c r="Q42" s="4"/>
      <c r="R42" s="11">
        <f>IF(P$12=0,0,P42/P$12)</f>
        <v>0</v>
      </c>
      <c r="S42" s="4"/>
      <c r="T42" s="4">
        <f>SUM(0)</f>
        <v>0</v>
      </c>
      <c r="U42" s="4"/>
      <c r="V42" s="11">
        <f>IF(T$12=0,0,T42/T$12)</f>
        <v>0</v>
      </c>
      <c r="W42" s="4"/>
      <c r="X42" s="4">
        <f>+P42-T42</f>
        <v>0</v>
      </c>
      <c r="Y42" s="4"/>
      <c r="Z42" s="11">
        <f>IF(T42=0,0,X42/T42)</f>
        <v>0</v>
      </c>
    </row>
    <row r="43" spans="1:26" x14ac:dyDescent="0.3">
      <c r="A43" s="9"/>
      <c r="B43" s="10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10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x14ac:dyDescent="0.3">
      <c r="A44" s="10"/>
      <c r="B44" s="26" t="s">
        <v>276</v>
      </c>
      <c r="C44" s="26"/>
      <c r="D44" s="20">
        <f>+D16-D18+D42</f>
        <v>-1184.5100000000002</v>
      </c>
      <c r="E44" s="13"/>
      <c r="F44" s="21">
        <f>IF(D$12=0,0,D44/D$12)</f>
        <v>0</v>
      </c>
      <c r="G44" s="13"/>
      <c r="H44" s="20">
        <f>+H16-H18+H42</f>
        <v>-5571.05</v>
      </c>
      <c r="I44" s="13"/>
      <c r="J44" s="21">
        <f>IF(H$12=0,0,H44/H$12)</f>
        <v>0</v>
      </c>
      <c r="K44" s="16"/>
      <c r="L44" s="20">
        <f>+D44-H44</f>
        <v>4386.54</v>
      </c>
      <c r="M44" s="16"/>
      <c r="N44" s="21">
        <f>IF(H44=0,0,L44/H44)</f>
        <v>-0.78738119385035132</v>
      </c>
      <c r="O44" s="25"/>
      <c r="P44" s="20">
        <f>+P16-P18+P42</f>
        <v>-1184.5100000000002</v>
      </c>
      <c r="Q44" s="13"/>
      <c r="R44" s="21">
        <f>IF(P$12=0,0,P44/P$12)</f>
        <v>0</v>
      </c>
      <c r="S44" s="13"/>
      <c r="T44" s="20">
        <f>+T16-T18+T42</f>
        <v>-5571.05</v>
      </c>
      <c r="U44" s="13"/>
      <c r="V44" s="21">
        <f>IF(T$12=0,0,T44/T$12)</f>
        <v>0</v>
      </c>
      <c r="W44" s="16"/>
      <c r="X44" s="20">
        <f>+P44-T44</f>
        <v>4386.54</v>
      </c>
      <c r="Y44" s="16"/>
      <c r="Z44" s="21">
        <f>IF(T44=0,0,X44/T44)</f>
        <v>-0.78738119385035132</v>
      </c>
    </row>
    <row r="45" spans="1:26" x14ac:dyDescent="0.3">
      <c r="A45" s="9"/>
      <c r="B45" s="10"/>
      <c r="C45" s="9"/>
      <c r="D45" s="2"/>
      <c r="E45" s="2"/>
      <c r="F45" s="6"/>
      <c r="G45" s="2"/>
      <c r="H45" s="2"/>
      <c r="I45" s="2"/>
      <c r="J45" s="6"/>
      <c r="K45" s="2"/>
      <c r="L45" s="2"/>
      <c r="M45" s="2"/>
      <c r="N45" s="6"/>
      <c r="P45" s="2"/>
      <c r="Q45" s="2"/>
      <c r="R45" s="6"/>
      <c r="S45" s="2"/>
      <c r="T45" s="2"/>
      <c r="U45" s="2"/>
      <c r="V45" s="6"/>
      <c r="W45" s="2"/>
      <c r="X45" s="2"/>
      <c r="Y45" s="2"/>
      <c r="Z45" s="6"/>
    </row>
    <row r="46" spans="1:26" s="23" customFormat="1" x14ac:dyDescent="0.3">
      <c r="A46" s="51"/>
      <c r="B46" s="10" t="s">
        <v>127</v>
      </c>
      <c r="C46" s="10"/>
      <c r="D46" s="4"/>
      <c r="E46" s="4"/>
      <c r="F46" s="11">
        <f>IF(D$12=0,0,D46/D$12)</f>
        <v>0</v>
      </c>
      <c r="G46" s="4"/>
      <c r="H46" s="4"/>
      <c r="I46" s="4"/>
      <c r="J46" s="11">
        <f>IF(H$12=0,0,H46/H$12)</f>
        <v>0</v>
      </c>
      <c r="K46" s="4"/>
      <c r="L46" s="4">
        <f>+D46-H46</f>
        <v>0</v>
      </c>
      <c r="M46" s="4"/>
      <c r="N46" s="11">
        <f>IF(H46=0,0,L46/H46)</f>
        <v>0</v>
      </c>
      <c r="O46" s="10"/>
      <c r="P46" s="4"/>
      <c r="Q46" s="4"/>
      <c r="R46" s="11">
        <f>IF(P$12=0,0,P46/P$12)</f>
        <v>0</v>
      </c>
      <c r="S46" s="4"/>
      <c r="T46" s="4"/>
      <c r="U46" s="4"/>
      <c r="V46" s="11">
        <f>IF(T$12=0,0,T46/T$12)</f>
        <v>0</v>
      </c>
      <c r="W46" s="4"/>
      <c r="X46" s="4">
        <f>+P46-T46</f>
        <v>0</v>
      </c>
      <c r="Y46" s="4"/>
      <c r="Z46" s="11">
        <f>IF(T46=0,0,X46/T46)</f>
        <v>0</v>
      </c>
    </row>
    <row r="47" spans="1:26" x14ac:dyDescent="0.3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ht="15" thickBot="1" x14ac:dyDescent="0.35">
      <c r="A48" s="10"/>
      <c r="B48" s="26" t="s">
        <v>125</v>
      </c>
      <c r="C48" s="26"/>
      <c r="D48" s="36">
        <f>+D44-D46</f>
        <v>-1184.5100000000002</v>
      </c>
      <c r="E48" s="13"/>
      <c r="F48" s="34">
        <f>IF(D$12=0,0,D48/D$12)</f>
        <v>0</v>
      </c>
      <c r="G48" s="13"/>
      <c r="H48" s="36">
        <f>+H44-H46</f>
        <v>-5571.05</v>
      </c>
      <c r="I48" s="13"/>
      <c r="J48" s="34">
        <f>IF(H$12=0,0,H48/H$12)</f>
        <v>0</v>
      </c>
      <c r="K48" s="16"/>
      <c r="L48" s="36">
        <f>D48-H48</f>
        <v>4386.54</v>
      </c>
      <c r="M48" s="16"/>
      <c r="N48" s="34">
        <f>IF(H48=0,0,L48/H48)</f>
        <v>-0.78738119385035132</v>
      </c>
      <c r="O48" s="25"/>
      <c r="P48" s="36">
        <f>+P44-P46</f>
        <v>-1184.5100000000002</v>
      </c>
      <c r="Q48" s="13"/>
      <c r="R48" s="34">
        <f>IF(P$12=0,0,P48/P$12)</f>
        <v>0</v>
      </c>
      <c r="S48" s="13"/>
      <c r="T48" s="36">
        <f>+T44-T46</f>
        <v>-5571.05</v>
      </c>
      <c r="U48" s="13"/>
      <c r="V48" s="34">
        <f>IF(T$12=0,0,T48/T$12)</f>
        <v>0</v>
      </c>
      <c r="W48" s="16"/>
      <c r="X48" s="36">
        <f>P48-T48</f>
        <v>4386.54</v>
      </c>
      <c r="Y48" s="16"/>
      <c r="Z48" s="34">
        <f>IF(T48=0,0,X48/T48)</f>
        <v>-0.78738119385035132</v>
      </c>
    </row>
    <row r="49" spans="1:26" ht="15" thickTop="1" x14ac:dyDescent="0.3">
      <c r="A49" s="9"/>
      <c r="B49" s="9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x14ac:dyDescent="0.3">
      <c r="A50" s="9"/>
      <c r="B50" s="9"/>
      <c r="C50" s="9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ht="15" thickBot="1" x14ac:dyDescent="0.35">
      <c r="A51" s="10"/>
      <c r="B51" s="26" t="s">
        <v>293</v>
      </c>
      <c r="C51" s="26"/>
      <c r="D51" s="31">
        <f>SUM(D48:D50)</f>
        <v>-1184.5100000000002</v>
      </c>
      <c r="E51" s="13"/>
      <c r="F51" s="33">
        <f>IF(D$12=0,0,D51/D$12)</f>
        <v>0</v>
      </c>
      <c r="G51" s="13"/>
      <c r="H51" s="31">
        <f>SUM(H48:H50)</f>
        <v>-5571.05</v>
      </c>
      <c r="I51" s="13"/>
      <c r="J51" s="33">
        <f>IF(H$12=0,0,H51/H$12)</f>
        <v>0</v>
      </c>
      <c r="K51" s="16"/>
      <c r="L51" s="31">
        <f>+D51-H51</f>
        <v>4386.54</v>
      </c>
      <c r="M51" s="16"/>
      <c r="N51" s="33">
        <f>IF(H51=0,0,L51/H51)</f>
        <v>-0.78738119385035132</v>
      </c>
      <c r="O51" s="25"/>
      <c r="P51" s="31">
        <f>SUM(P48:P50)</f>
        <v>-1184.5100000000002</v>
      </c>
      <c r="Q51" s="13"/>
      <c r="R51" s="33">
        <f>IF(P$12=0,0,P51/P$12)</f>
        <v>0</v>
      </c>
      <c r="S51" s="13"/>
      <c r="T51" s="31">
        <f>SUM(T48:T50)</f>
        <v>-5571.05</v>
      </c>
      <c r="U51" s="13"/>
      <c r="V51" s="33">
        <f>IF(T$12=0,0,T51/T$12)</f>
        <v>0</v>
      </c>
      <c r="W51" s="16"/>
      <c r="X51" s="31">
        <f>+P51-T51</f>
        <v>4386.54</v>
      </c>
      <c r="Y51" s="16"/>
      <c r="Z51" s="33">
        <f>IF(T51=0,0,X51/T51)</f>
        <v>-0.78738119385035132</v>
      </c>
    </row>
    <row r="52" spans="1:26" ht="15" thickTop="1" x14ac:dyDescent="0.3">
      <c r="A52" s="9"/>
      <c r="C52" s="9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3">
      <c r="A53" s="9"/>
      <c r="B53" s="59">
        <v>44462.666945868055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3">
      <c r="A54" s="9"/>
      <c r="B54" s="57" t="s">
        <v>56</v>
      </c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3">
      <c r="A55" s="9"/>
      <c r="B55" s="61"/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3"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","322", " - ", "Beach Hut")</f>
        <v>Department 322 - Beach Hut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0</v>
      </c>
      <c r="E14" s="4"/>
      <c r="F14" s="11">
        <f t="shared" ref="F14:F15" si="0">IF(D$12=0,0,D14/D$12)</f>
        <v>0</v>
      </c>
      <c r="G14" s="4"/>
      <c r="H14" s="4">
        <f>SUM(OSRRefH16x_0)</f>
        <v>-226.87</v>
      </c>
      <c r="I14" s="4"/>
      <c r="J14" s="11">
        <f t="shared" ref="J14:J15" si="1">IF(H$12=0,0,H14/H$12)</f>
        <v>0</v>
      </c>
      <c r="K14" s="4"/>
      <c r="L14" s="4">
        <f t="shared" ref="L14:L15" si="2">+D14-H14</f>
        <v>226.87</v>
      </c>
      <c r="M14" s="4"/>
      <c r="N14" s="11">
        <f t="shared" ref="N14:N15" si="3">IF(H14=0,0,L14/H14)</f>
        <v>-1</v>
      </c>
      <c r="O14" s="10"/>
      <c r="P14" s="4">
        <f>SUM(OSRRefP16x_0)</f>
        <v>0</v>
      </c>
      <c r="Q14" s="4"/>
      <c r="R14" s="11">
        <f t="shared" ref="R14:R15" si="4">IF(P$12=0,0,P14/P$12)</f>
        <v>0</v>
      </c>
      <c r="S14" s="4"/>
      <c r="T14" s="4">
        <f>SUM(OSRRefT16x_0)</f>
        <v>-226.87</v>
      </c>
      <c r="U14" s="4"/>
      <c r="V14" s="11">
        <f t="shared" ref="V14:V15" si="5">IF(T$12=0,0,T14/T$12)</f>
        <v>0</v>
      </c>
      <c r="W14" s="4"/>
      <c r="X14" s="4">
        <f t="shared" ref="X14:X15" si="6">+P14-T14</f>
        <v>226.87</v>
      </c>
      <c r="Y14" s="4"/>
      <c r="Z14" s="11">
        <f t="shared" ref="Z14:Z15" si="7">IF(T14=0,0,X14/T14)</f>
        <v>-1</v>
      </c>
    </row>
    <row r="15" spans="1:26" s="24" customFormat="1" hidden="1" outlineLevel="1" x14ac:dyDescent="0.3">
      <c r="A15" s="50"/>
      <c r="B15" s="12" t="str">
        <f>CONCATENATE("          ", "5053", " - ", "PURCHASES @ COST-FOOD")</f>
        <v xml:space="preserve">          5053 - PURCHASES @ COST-FOOD</v>
      </c>
      <c r="C15" s="12"/>
      <c r="D15" s="3"/>
      <c r="E15" s="3"/>
      <c r="F15" s="22">
        <f t="shared" si="0"/>
        <v>0</v>
      </c>
      <c r="G15" s="3"/>
      <c r="H15" s="3">
        <v>-226.87</v>
      </c>
      <c r="I15" s="3"/>
      <c r="J15" s="22">
        <f t="shared" si="1"/>
        <v>0</v>
      </c>
      <c r="K15" s="3"/>
      <c r="L15" s="3">
        <f t="shared" si="2"/>
        <v>226.87</v>
      </c>
      <c r="M15" s="3"/>
      <c r="N15" s="22">
        <f t="shared" si="3"/>
        <v>-1</v>
      </c>
      <c r="O15" s="12"/>
      <c r="P15" s="3"/>
      <c r="Q15" s="3"/>
      <c r="R15" s="22">
        <f t="shared" si="4"/>
        <v>0</v>
      </c>
      <c r="S15" s="3"/>
      <c r="T15" s="3">
        <v>-226.87</v>
      </c>
      <c r="U15" s="3"/>
      <c r="V15" s="22">
        <f t="shared" si="5"/>
        <v>0</v>
      </c>
      <c r="W15" s="3"/>
      <c r="X15" s="3">
        <f t="shared" si="6"/>
        <v>226.87</v>
      </c>
      <c r="Y15" s="3"/>
      <c r="Z15" s="22">
        <f t="shared" si="7"/>
        <v>-1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226.87</v>
      </c>
      <c r="I17" s="13"/>
      <c r="J17" s="21">
        <f>IF(H$12=0,0,H17/H$12)</f>
        <v>0</v>
      </c>
      <c r="K17" s="16"/>
      <c r="L17" s="20">
        <f>+D17-H17</f>
        <v>-226.87</v>
      </c>
      <c r="M17" s="16"/>
      <c r="N17" s="21">
        <f>IF(H17=0,0,L17/H17)</f>
        <v>-1</v>
      </c>
      <c r="O17" s="25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226.87</v>
      </c>
      <c r="U17" s="13"/>
      <c r="V17" s="21">
        <f>IF(T$12=0,0,T17/T$12)</f>
        <v>0</v>
      </c>
      <c r="W17" s="16"/>
      <c r="X17" s="20">
        <f>+P17-T17</f>
        <v>-226.87</v>
      </c>
      <c r="Y17" s="16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0</v>
      </c>
      <c r="E19" s="19"/>
      <c r="F19" s="35">
        <f t="shared" ref="F19:F25" si="8">IF(D$12=0,0,D19/D$12)</f>
        <v>0</v>
      </c>
      <c r="G19" s="19"/>
      <c r="H19" s="19">
        <f>SUM(OSRRefH22x_0)</f>
        <v>5243.07</v>
      </c>
      <c r="I19" s="19"/>
      <c r="J19" s="35">
        <f t="shared" ref="J19:J25" si="9">IF(H$12=0,0,H19/H$12)</f>
        <v>0</v>
      </c>
      <c r="K19" s="4"/>
      <c r="L19" s="19">
        <f t="shared" ref="L19:L25" si="10">+D19-H19</f>
        <v>-5243.07</v>
      </c>
      <c r="M19" s="4"/>
      <c r="N19" s="35">
        <f t="shared" ref="N19:N25" si="11">IF(H19=0,0,L19/H19)</f>
        <v>-1</v>
      </c>
      <c r="O19" s="10"/>
      <c r="P19" s="19">
        <f>SUM(OSRRefP22x_0)</f>
        <v>0</v>
      </c>
      <c r="Q19" s="19"/>
      <c r="R19" s="35">
        <f t="shared" ref="R19:R25" si="12">IF(P$12=0,0,P19/P$12)</f>
        <v>0</v>
      </c>
      <c r="S19" s="19"/>
      <c r="T19" s="19">
        <f>SUM(OSRRefT22x_0)</f>
        <v>5243.07</v>
      </c>
      <c r="U19" s="19"/>
      <c r="V19" s="35">
        <f t="shared" ref="V19:V25" si="13">IF(T$12=0,0,T19/T$12)</f>
        <v>0</v>
      </c>
      <c r="W19" s="4"/>
      <c r="X19" s="19">
        <f t="shared" ref="X19:X25" si="14">+P19-T19</f>
        <v>-5243.07</v>
      </c>
      <c r="Y19" s="4"/>
      <c r="Z19" s="35">
        <f t="shared" ref="Z19:Z25" si="15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1595.9699999999998</v>
      </c>
      <c r="I20" s="1"/>
      <c r="J20" s="5">
        <f t="shared" si="9"/>
        <v>0</v>
      </c>
      <c r="K20" s="1"/>
      <c r="L20" s="1">
        <f t="shared" si="10"/>
        <v>-1595.9699999999998</v>
      </c>
      <c r="M20" s="1"/>
      <c r="N20" s="5">
        <f t="shared" si="11"/>
        <v>-1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2" t="str">
        <f>CONCATENATE("          ", "6111", " - ", "F.I.C.A.")</f>
        <v xml:space="preserve">          6111 - F.I.C.A.</v>
      </c>
      <c r="C21" s="12"/>
      <c r="D21" s="8"/>
      <c r="E21" s="3"/>
      <c r="F21" s="7">
        <f t="shared" si="8"/>
        <v>0</v>
      </c>
      <c r="G21" s="3"/>
      <c r="H21" s="8">
        <v>159.12</v>
      </c>
      <c r="I21" s="3"/>
      <c r="J21" s="7">
        <f t="shared" si="9"/>
        <v>0</v>
      </c>
      <c r="K21" s="3"/>
      <c r="L21" s="8">
        <f t="shared" si="10"/>
        <v>-159.12</v>
      </c>
      <c r="M21" s="3"/>
      <c r="N21" s="7">
        <f t="shared" si="11"/>
        <v>-1</v>
      </c>
      <c r="O21" s="12"/>
      <c r="P21" s="8"/>
      <c r="Q21" s="3"/>
      <c r="R21" s="7">
        <f t="shared" si="12"/>
        <v>0</v>
      </c>
      <c r="S21" s="3"/>
      <c r="T21" s="8">
        <v>159.12</v>
      </c>
      <c r="U21" s="3"/>
      <c r="V21" s="7">
        <f t="shared" si="13"/>
        <v>0</v>
      </c>
      <c r="W21" s="3"/>
      <c r="X21" s="8">
        <f t="shared" si="14"/>
        <v>-159.12</v>
      </c>
      <c r="Y21" s="3"/>
      <c r="Z21" s="7">
        <f t="shared" si="15"/>
        <v>-1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/>
      <c r="E22" s="3"/>
      <c r="F22" s="7">
        <f t="shared" si="8"/>
        <v>0</v>
      </c>
      <c r="G22" s="3"/>
      <c r="H22" s="8">
        <v>683.68</v>
      </c>
      <c r="I22" s="3"/>
      <c r="J22" s="7">
        <f t="shared" si="9"/>
        <v>0</v>
      </c>
      <c r="K22" s="3"/>
      <c r="L22" s="8">
        <f t="shared" si="10"/>
        <v>-683.68</v>
      </c>
      <c r="M22" s="3"/>
      <c r="N22" s="7">
        <f t="shared" si="11"/>
        <v>-1</v>
      </c>
      <c r="O22" s="12"/>
      <c r="P22" s="8"/>
      <c r="Q22" s="3"/>
      <c r="R22" s="7">
        <f t="shared" si="12"/>
        <v>0</v>
      </c>
      <c r="S22" s="3"/>
      <c r="T22" s="8">
        <v>683.68</v>
      </c>
      <c r="U22" s="3"/>
      <c r="V22" s="7">
        <f t="shared" si="13"/>
        <v>0</v>
      </c>
      <c r="W22" s="3"/>
      <c r="X22" s="8">
        <f t="shared" si="14"/>
        <v>-683.68</v>
      </c>
      <c r="Y22" s="3"/>
      <c r="Z22" s="7">
        <f t="shared" si="15"/>
        <v>-1</v>
      </c>
    </row>
    <row r="23" spans="1:26" s="24" customFormat="1" hidden="1" outlineLevel="2" x14ac:dyDescent="0.3">
      <c r="A23" s="27"/>
      <c r="B23" s="12" t="str">
        <f>CONCATENATE("          ", "6115", " - ", "P.E.R.S.")</f>
        <v xml:space="preserve">          6115 - P.E.R.S.</v>
      </c>
      <c r="C23" s="12"/>
      <c r="D23" s="8"/>
      <c r="E23" s="3"/>
      <c r="F23" s="7">
        <f t="shared" si="8"/>
        <v>0</v>
      </c>
      <c r="G23" s="3"/>
      <c r="H23" s="8">
        <v>321.57</v>
      </c>
      <c r="I23" s="3"/>
      <c r="J23" s="7">
        <f t="shared" si="9"/>
        <v>0</v>
      </c>
      <c r="K23" s="3"/>
      <c r="L23" s="8">
        <f t="shared" si="10"/>
        <v>-321.57</v>
      </c>
      <c r="M23" s="3"/>
      <c r="N23" s="7">
        <f t="shared" si="11"/>
        <v>-1</v>
      </c>
      <c r="O23" s="12"/>
      <c r="P23" s="8"/>
      <c r="Q23" s="3"/>
      <c r="R23" s="7">
        <f t="shared" si="12"/>
        <v>0</v>
      </c>
      <c r="S23" s="3"/>
      <c r="T23" s="8">
        <v>321.57</v>
      </c>
      <c r="U23" s="3"/>
      <c r="V23" s="7">
        <f t="shared" si="13"/>
        <v>0</v>
      </c>
      <c r="W23" s="3"/>
      <c r="X23" s="8">
        <f t="shared" si="14"/>
        <v>-321.57</v>
      </c>
      <c r="Y23" s="3"/>
      <c r="Z23" s="7">
        <f t="shared" si="15"/>
        <v>-1</v>
      </c>
    </row>
    <row r="24" spans="1:26" s="24" customFormat="1" hidden="1" outlineLevel="2" x14ac:dyDescent="0.3">
      <c r="A24" s="27"/>
      <c r="B24" s="12" t="str">
        <f>CONCATENATE("          ", "6118", " - ", "VACATION")</f>
        <v xml:space="preserve">          6118 - VACATION</v>
      </c>
      <c r="C24" s="12"/>
      <c r="D24" s="8"/>
      <c r="E24" s="3"/>
      <c r="F24" s="7">
        <f t="shared" si="8"/>
        <v>0</v>
      </c>
      <c r="G24" s="3"/>
      <c r="H24" s="8">
        <v>239.72</v>
      </c>
      <c r="I24" s="3"/>
      <c r="J24" s="7">
        <f t="shared" si="9"/>
        <v>0</v>
      </c>
      <c r="K24" s="3"/>
      <c r="L24" s="8">
        <f t="shared" si="10"/>
        <v>-239.72</v>
      </c>
      <c r="M24" s="3"/>
      <c r="N24" s="7">
        <f t="shared" si="11"/>
        <v>-1</v>
      </c>
      <c r="O24" s="12"/>
      <c r="P24" s="8"/>
      <c r="Q24" s="3"/>
      <c r="R24" s="7">
        <f t="shared" si="12"/>
        <v>0</v>
      </c>
      <c r="S24" s="3"/>
      <c r="T24" s="8">
        <v>239.72</v>
      </c>
      <c r="U24" s="3"/>
      <c r="V24" s="7">
        <f t="shared" si="13"/>
        <v>0</v>
      </c>
      <c r="W24" s="3"/>
      <c r="X24" s="8">
        <f t="shared" si="14"/>
        <v>-239.72</v>
      </c>
      <c r="Y24" s="3"/>
      <c r="Z24" s="7">
        <f t="shared" si="15"/>
        <v>-1</v>
      </c>
    </row>
    <row r="25" spans="1:26" s="24" customFormat="1" hidden="1" outlineLevel="2" x14ac:dyDescent="0.3">
      <c r="A25" s="27"/>
      <c r="B25" s="12" t="str">
        <f>CONCATENATE("          ", "6119", " - ", "SICK LEAVE")</f>
        <v xml:space="preserve">          6119 - SICK LEAVE</v>
      </c>
      <c r="C25" s="12"/>
      <c r="D25" s="8"/>
      <c r="E25" s="3"/>
      <c r="F25" s="7">
        <f t="shared" si="8"/>
        <v>0</v>
      </c>
      <c r="G25" s="3"/>
      <c r="H25" s="8">
        <v>191.88</v>
      </c>
      <c r="I25" s="3"/>
      <c r="J25" s="7">
        <f t="shared" si="9"/>
        <v>0</v>
      </c>
      <c r="K25" s="3"/>
      <c r="L25" s="8">
        <f t="shared" si="10"/>
        <v>-191.88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191.88</v>
      </c>
      <c r="U25" s="3"/>
      <c r="V25" s="7">
        <f t="shared" si="13"/>
        <v>0</v>
      </c>
      <c r="W25" s="3"/>
      <c r="X25" s="8">
        <f t="shared" si="14"/>
        <v>-191.88</v>
      </c>
      <c r="Y25" s="3"/>
      <c r="Z25" s="7">
        <f t="shared" si="15"/>
        <v>-1</v>
      </c>
    </row>
    <row r="26" spans="1:26" s="29" customFormat="1" outlineLevel="1" collapsed="1" x14ac:dyDescent="0.3">
      <c r="A26" s="28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3" si="16">IF(D$12=0,0,D26/D$12)</f>
        <v>0</v>
      </c>
      <c r="G26" s="1"/>
      <c r="H26" s="1">
        <f>SUM(OSRRefH22_1x_0)</f>
        <v>2080</v>
      </c>
      <c r="I26" s="1"/>
      <c r="J26" s="5">
        <f t="shared" ref="J26:J33" si="17">IF(H$12=0,0,H26/H$12)</f>
        <v>0</v>
      </c>
      <c r="K26" s="1"/>
      <c r="L26" s="1">
        <f t="shared" ref="L26:L33" si="18">+D26-H26</f>
        <v>-2080</v>
      </c>
      <c r="M26" s="1"/>
      <c r="N26" s="5">
        <f t="shared" ref="N26:N33" si="19">IF(H26=0,0,L26/H26)</f>
        <v>-1</v>
      </c>
      <c r="O26" s="14"/>
      <c r="P26" s="1">
        <f>SUM(OSRRefP22_1x_0)</f>
        <v>0</v>
      </c>
      <c r="Q26" s="1"/>
      <c r="R26" s="5">
        <f t="shared" ref="R26:R33" si="20">IF(P$12=0,0,P26/P$12)</f>
        <v>0</v>
      </c>
      <c r="S26" s="1"/>
      <c r="T26" s="1">
        <f>SUM(OSRRefT22_1x_0)</f>
        <v>2080</v>
      </c>
      <c r="U26" s="1"/>
      <c r="V26" s="5">
        <f t="shared" ref="V26:V33" si="21">IF(T$12=0,0,T26/T$12)</f>
        <v>0</v>
      </c>
      <c r="W26" s="1"/>
      <c r="X26" s="1">
        <f t="shared" ref="X26:X33" si="22">+P26-T26</f>
        <v>-2080</v>
      </c>
      <c r="Y26" s="1"/>
      <c r="Z26" s="5">
        <f t="shared" ref="Z26:Z33" si="23">IF(T26=0,0,X26/T26)</f>
        <v>-1</v>
      </c>
    </row>
    <row r="27" spans="1:26" s="24" customFormat="1" hidden="1" outlineLevel="2" x14ac:dyDescent="0.3">
      <c r="A27" s="27"/>
      <c r="B27" s="12" t="str">
        <f>CONCATENATE("          ", "6002", " - ", "STAFF SALARIES")</f>
        <v xml:space="preserve">          6002 - STAFF SALARIES</v>
      </c>
      <c r="C27" s="12"/>
      <c r="D27" s="8"/>
      <c r="E27" s="3"/>
      <c r="F27" s="7">
        <f t="shared" si="16"/>
        <v>0</v>
      </c>
      <c r="G27" s="3"/>
      <c r="H27" s="8">
        <v>2080</v>
      </c>
      <c r="I27" s="3"/>
      <c r="J27" s="7">
        <f t="shared" si="17"/>
        <v>0</v>
      </c>
      <c r="K27" s="3"/>
      <c r="L27" s="8">
        <f t="shared" si="18"/>
        <v>-2080</v>
      </c>
      <c r="M27" s="3"/>
      <c r="N27" s="7">
        <f t="shared" si="19"/>
        <v>-1</v>
      </c>
      <c r="O27" s="12"/>
      <c r="P27" s="8"/>
      <c r="Q27" s="3"/>
      <c r="R27" s="7">
        <f t="shared" si="20"/>
        <v>0</v>
      </c>
      <c r="S27" s="3"/>
      <c r="T27" s="8">
        <v>2080</v>
      </c>
      <c r="U27" s="3"/>
      <c r="V27" s="7">
        <f t="shared" si="21"/>
        <v>0</v>
      </c>
      <c r="W27" s="3"/>
      <c r="X27" s="8">
        <f t="shared" si="22"/>
        <v>-2080</v>
      </c>
      <c r="Y27" s="3"/>
      <c r="Z27" s="7">
        <f t="shared" si="23"/>
        <v>-1</v>
      </c>
    </row>
    <row r="28" spans="1:26" s="29" customFormat="1" outlineLevel="1" collapsed="1" x14ac:dyDescent="0.3">
      <c r="A28" s="28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2017.34</v>
      </c>
      <c r="U28" s="1"/>
      <c r="V28" s="5">
        <f t="shared" si="21"/>
        <v>0</v>
      </c>
      <c r="W28" s="1"/>
      <c r="X28" s="1">
        <f t="shared" si="22"/>
        <v>-2017.34</v>
      </c>
      <c r="Y28" s="1"/>
      <c r="Z28" s="5">
        <f t="shared" si="23"/>
        <v>-1</v>
      </c>
    </row>
    <row r="29" spans="1:26" s="24" customFormat="1" hidden="1" outlineLevel="2" x14ac:dyDescent="0.3">
      <c r="A29" s="27"/>
      <c r="B29" s="12" t="str">
        <f>CONCATENATE("          ", "6322", " - ", "EQUIPMENT DEPRECIATION EXPENSE")</f>
        <v xml:space="preserve">          6322 - EQUIPMENT DEPRECIATION EXPENSE</v>
      </c>
      <c r="C29" s="12"/>
      <c r="D29" s="8"/>
      <c r="E29" s="3"/>
      <c r="F29" s="7">
        <f t="shared" si="16"/>
        <v>0</v>
      </c>
      <c r="G29" s="3"/>
      <c r="H29" s="8">
        <v>2017.34</v>
      </c>
      <c r="I29" s="3"/>
      <c r="J29" s="7">
        <f t="shared" si="17"/>
        <v>0</v>
      </c>
      <c r="K29" s="3"/>
      <c r="L29" s="8">
        <f t="shared" si="18"/>
        <v>-2017.34</v>
      </c>
      <c r="M29" s="3"/>
      <c r="N29" s="7">
        <f t="shared" si="19"/>
        <v>-1</v>
      </c>
      <c r="O29" s="12"/>
      <c r="P29" s="8"/>
      <c r="Q29" s="3"/>
      <c r="R29" s="7">
        <f t="shared" si="20"/>
        <v>0</v>
      </c>
      <c r="S29" s="3"/>
      <c r="T29" s="8">
        <v>2017.34</v>
      </c>
      <c r="U29" s="3"/>
      <c r="V29" s="7">
        <f t="shared" si="21"/>
        <v>0</v>
      </c>
      <c r="W29" s="3"/>
      <c r="X29" s="8">
        <f t="shared" si="22"/>
        <v>-2017.34</v>
      </c>
      <c r="Y29" s="3"/>
      <c r="Z29" s="7">
        <f t="shared" si="23"/>
        <v>-1</v>
      </c>
    </row>
    <row r="30" spans="1:26" s="29" customFormat="1" outlineLevel="1" collapsed="1" x14ac:dyDescent="0.3">
      <c r="A30" s="28"/>
      <c r="B30" s="14" t="str">
        <f>CONCATENATE("     ","Services                                          ")</f>
        <v xml:space="preserve">     Services              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-486.24</v>
      </c>
      <c r="I30" s="1"/>
      <c r="J30" s="5">
        <f t="shared" si="17"/>
        <v>0</v>
      </c>
      <c r="K30" s="1"/>
      <c r="L30" s="1">
        <f t="shared" si="18"/>
        <v>486.24</v>
      </c>
      <c r="M30" s="1"/>
      <c r="N30" s="5">
        <f t="shared" si="19"/>
        <v>-1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-486.24</v>
      </c>
      <c r="U30" s="1"/>
      <c r="V30" s="5">
        <f t="shared" si="21"/>
        <v>0</v>
      </c>
      <c r="W30" s="1"/>
      <c r="X30" s="1">
        <f t="shared" si="22"/>
        <v>486.24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2" t="str">
        <f>CONCATENATE("          ", "6285", " - ", "JANITORIAL SERVICES")</f>
        <v xml:space="preserve">          6285 - JANITORIAL SERVICES</v>
      </c>
      <c r="C31" s="12"/>
      <c r="D31" s="8"/>
      <c r="E31" s="3"/>
      <c r="F31" s="7">
        <f t="shared" si="16"/>
        <v>0</v>
      </c>
      <c r="G31" s="3"/>
      <c r="H31" s="8">
        <v>-486.24</v>
      </c>
      <c r="I31" s="3"/>
      <c r="J31" s="7">
        <f t="shared" si="17"/>
        <v>0</v>
      </c>
      <c r="K31" s="3"/>
      <c r="L31" s="8">
        <f t="shared" si="18"/>
        <v>486.24</v>
      </c>
      <c r="M31" s="3"/>
      <c r="N31" s="7">
        <f t="shared" si="19"/>
        <v>-1</v>
      </c>
      <c r="O31" s="12"/>
      <c r="P31" s="8"/>
      <c r="Q31" s="3"/>
      <c r="R31" s="7">
        <f t="shared" si="20"/>
        <v>0</v>
      </c>
      <c r="S31" s="3"/>
      <c r="T31" s="8">
        <v>-486.24</v>
      </c>
      <c r="U31" s="3"/>
      <c r="V31" s="7">
        <f t="shared" si="21"/>
        <v>0</v>
      </c>
      <c r="W31" s="3"/>
      <c r="X31" s="8">
        <f t="shared" si="22"/>
        <v>486.24</v>
      </c>
      <c r="Y31" s="3"/>
      <c r="Z31" s="7">
        <f t="shared" si="23"/>
        <v>-1</v>
      </c>
    </row>
    <row r="32" spans="1:26" s="29" customFormat="1" outlineLevel="1" collapsed="1" x14ac:dyDescent="0.3">
      <c r="A32" s="28"/>
      <c r="B32" s="14" t="str">
        <f>CONCATENATE("     ","Telephone/Data Lines                              ")</f>
        <v xml:space="preserve">     Telephone/Data Lines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36</v>
      </c>
      <c r="I32" s="1"/>
      <c r="J32" s="5">
        <f t="shared" si="17"/>
        <v>0</v>
      </c>
      <c r="K32" s="1"/>
      <c r="L32" s="1">
        <f t="shared" si="18"/>
        <v>-36</v>
      </c>
      <c r="M32" s="1"/>
      <c r="N32" s="5">
        <f t="shared" si="19"/>
        <v>-1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36</v>
      </c>
      <c r="U32" s="1"/>
      <c r="V32" s="5">
        <f t="shared" si="21"/>
        <v>0</v>
      </c>
      <c r="W32" s="1"/>
      <c r="X32" s="1">
        <f t="shared" si="22"/>
        <v>-36</v>
      </c>
      <c r="Y32" s="1"/>
      <c r="Z32" s="5">
        <f t="shared" si="23"/>
        <v>-1</v>
      </c>
    </row>
    <row r="33" spans="1:26" s="24" customFormat="1" hidden="1" outlineLevel="2" x14ac:dyDescent="0.3">
      <c r="A33" s="27"/>
      <c r="B33" s="12" t="str">
        <f>CONCATENATE("          ", "6309", " - ", "TELEPHONE")</f>
        <v xml:space="preserve">          6309 - TELEPHONE</v>
      </c>
      <c r="C33" s="12"/>
      <c r="D33" s="8"/>
      <c r="E33" s="3"/>
      <c r="F33" s="7">
        <f t="shared" si="16"/>
        <v>0</v>
      </c>
      <c r="G33" s="3"/>
      <c r="H33" s="8">
        <v>36</v>
      </c>
      <c r="I33" s="3"/>
      <c r="J33" s="7">
        <f t="shared" si="17"/>
        <v>0</v>
      </c>
      <c r="K33" s="3"/>
      <c r="L33" s="8">
        <f t="shared" si="18"/>
        <v>-36</v>
      </c>
      <c r="M33" s="3"/>
      <c r="N33" s="7">
        <f t="shared" si="19"/>
        <v>-1</v>
      </c>
      <c r="O33" s="12"/>
      <c r="P33" s="8"/>
      <c r="Q33" s="3"/>
      <c r="R33" s="7">
        <f t="shared" si="20"/>
        <v>0</v>
      </c>
      <c r="S33" s="3"/>
      <c r="T33" s="8">
        <v>36</v>
      </c>
      <c r="U33" s="3"/>
      <c r="V33" s="7">
        <f t="shared" si="21"/>
        <v>0</v>
      </c>
      <c r="W33" s="3"/>
      <c r="X33" s="8">
        <f t="shared" si="22"/>
        <v>-36</v>
      </c>
      <c r="Y33" s="3"/>
      <c r="Z33" s="7">
        <f t="shared" si="23"/>
        <v>-1</v>
      </c>
    </row>
    <row r="34" spans="1:26" s="53" customFormat="1" x14ac:dyDescent="0.3">
      <c r="A34" s="37"/>
      <c r="B34" s="37"/>
      <c r="C34" s="37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3">
      <c r="A35" s="10"/>
      <c r="B35" s="25" t="s">
        <v>292</v>
      </c>
      <c r="C35" s="10"/>
      <c r="D35" s="4">
        <f>SUM(0)</f>
        <v>0</v>
      </c>
      <c r="E35" s="4"/>
      <c r="F35" s="11">
        <f>IF(D$12=0,0,D35/D$12)</f>
        <v>0</v>
      </c>
      <c r="G35" s="4"/>
      <c r="H35" s="4">
        <f>SUM(0)</f>
        <v>0</v>
      </c>
      <c r="I35" s="4"/>
      <c r="J35" s="11">
        <f>IF(H$12=0,0,H35/H$12)</f>
        <v>0</v>
      </c>
      <c r="K35" s="4"/>
      <c r="L35" s="4">
        <f>+D35-H35</f>
        <v>0</v>
      </c>
      <c r="M35" s="4"/>
      <c r="N35" s="11">
        <f>IF(H35=0,0,L35/H35)</f>
        <v>0</v>
      </c>
      <c r="O35" s="10"/>
      <c r="P35" s="4">
        <f>SUM(0)</f>
        <v>0</v>
      </c>
      <c r="Q35" s="4"/>
      <c r="R35" s="11">
        <f>IF(P$12=0,0,P35/P$12)</f>
        <v>0</v>
      </c>
      <c r="S35" s="4"/>
      <c r="T35" s="4">
        <f>SUM(0)</f>
        <v>0</v>
      </c>
      <c r="U35" s="4"/>
      <c r="V35" s="11">
        <f>IF(T$12=0,0,T35/T$12)</f>
        <v>0</v>
      </c>
      <c r="W35" s="4"/>
      <c r="X35" s="4">
        <f>+P35-T35</f>
        <v>0</v>
      </c>
      <c r="Y35" s="4"/>
      <c r="Z35" s="11">
        <f>IF(T35=0,0,X35/T35)</f>
        <v>0</v>
      </c>
    </row>
    <row r="36" spans="1:26" x14ac:dyDescent="0.3">
      <c r="A36" s="9"/>
      <c r="B36" s="10"/>
      <c r="C36" s="10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O36" s="10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3" customFormat="1" x14ac:dyDescent="0.3">
      <c r="A37" s="10"/>
      <c r="B37" s="26" t="s">
        <v>276</v>
      </c>
      <c r="C37" s="26"/>
      <c r="D37" s="20">
        <f>+D17-D19+D35</f>
        <v>0</v>
      </c>
      <c r="E37" s="13"/>
      <c r="F37" s="21">
        <f>IF(D$12=0,0,D37/D$12)</f>
        <v>0</v>
      </c>
      <c r="G37" s="13"/>
      <c r="H37" s="20">
        <f>+H17-H19+H35</f>
        <v>-5016.2</v>
      </c>
      <c r="I37" s="13"/>
      <c r="J37" s="21">
        <f>IF(H$12=0,0,H37/H$12)</f>
        <v>0</v>
      </c>
      <c r="K37" s="16"/>
      <c r="L37" s="20">
        <f>+D37-H37</f>
        <v>5016.2</v>
      </c>
      <c r="M37" s="16"/>
      <c r="N37" s="21">
        <f>IF(H37=0,0,L37/H37)</f>
        <v>-1</v>
      </c>
      <c r="O37" s="25"/>
      <c r="P37" s="20">
        <f>+P17-P19+P35</f>
        <v>0</v>
      </c>
      <c r="Q37" s="13"/>
      <c r="R37" s="21">
        <f>IF(P$12=0,0,P37/P$12)</f>
        <v>0</v>
      </c>
      <c r="S37" s="13"/>
      <c r="T37" s="20">
        <f>+T17-T19+T35</f>
        <v>-5016.2</v>
      </c>
      <c r="U37" s="13"/>
      <c r="V37" s="21">
        <f>IF(T$12=0,0,T37/T$12)</f>
        <v>0</v>
      </c>
      <c r="W37" s="16"/>
      <c r="X37" s="20">
        <f>+P37-T37</f>
        <v>5016.2</v>
      </c>
      <c r="Y37" s="16"/>
      <c r="Z37" s="21">
        <f>IF(T37=0,0,X37/T37)</f>
        <v>-1</v>
      </c>
    </row>
    <row r="38" spans="1:26" x14ac:dyDescent="0.3">
      <c r="A38" s="9"/>
      <c r="B38" s="10"/>
      <c r="C38" s="9"/>
      <c r="D38" s="2"/>
      <c r="E38" s="2"/>
      <c r="F38" s="6"/>
      <c r="G38" s="2"/>
      <c r="H38" s="2"/>
      <c r="I38" s="2"/>
      <c r="J38" s="6"/>
      <c r="K38" s="2"/>
      <c r="L38" s="2"/>
      <c r="M38" s="2"/>
      <c r="N38" s="6"/>
      <c r="P38" s="2"/>
      <c r="Q38" s="2"/>
      <c r="R38" s="6"/>
      <c r="S38" s="2"/>
      <c r="T38" s="2"/>
      <c r="U38" s="2"/>
      <c r="V38" s="6"/>
      <c r="W38" s="2"/>
      <c r="X38" s="2"/>
      <c r="Y38" s="2"/>
      <c r="Z38" s="6"/>
    </row>
    <row r="39" spans="1:26" s="23" customFormat="1" x14ac:dyDescent="0.3">
      <c r="A39" s="51"/>
      <c r="B39" s="10" t="s">
        <v>127</v>
      </c>
      <c r="C39" s="10"/>
      <c r="D39" s="4"/>
      <c r="E39" s="4"/>
      <c r="F39" s="11">
        <f>IF(D$12=0,0,D39/D$12)</f>
        <v>0</v>
      </c>
      <c r="G39" s="4"/>
      <c r="H39" s="4"/>
      <c r="I39" s="4"/>
      <c r="J39" s="11">
        <f>IF(H$12=0,0,H39/H$12)</f>
        <v>0</v>
      </c>
      <c r="K39" s="4"/>
      <c r="L39" s="4">
        <f>+D39-H39</f>
        <v>0</v>
      </c>
      <c r="M39" s="4"/>
      <c r="N39" s="11">
        <f>IF(H39=0,0,L39/H39)</f>
        <v>0</v>
      </c>
      <c r="O39" s="10"/>
      <c r="P39" s="4"/>
      <c r="Q39" s="4"/>
      <c r="R39" s="11">
        <f>IF(P$12=0,0,P39/P$12)</f>
        <v>0</v>
      </c>
      <c r="S39" s="4"/>
      <c r="T39" s="4"/>
      <c r="U39" s="4"/>
      <c r="V39" s="11">
        <f>IF(T$12=0,0,T39/T$12)</f>
        <v>0</v>
      </c>
      <c r="W39" s="4"/>
      <c r="X39" s="4">
        <f>+P39-T39</f>
        <v>0</v>
      </c>
      <c r="Y39" s="4"/>
      <c r="Z39" s="11">
        <f>IF(T39=0,0,X39/T39)</f>
        <v>0</v>
      </c>
    </row>
    <row r="40" spans="1:26" x14ac:dyDescent="0.3">
      <c r="A40" s="9"/>
      <c r="B40" s="10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10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3" customFormat="1" ht="15" thickBot="1" x14ac:dyDescent="0.35">
      <c r="A41" s="10"/>
      <c r="B41" s="26" t="s">
        <v>125</v>
      </c>
      <c r="C41" s="26"/>
      <c r="D41" s="36">
        <f>+D37-D39</f>
        <v>0</v>
      </c>
      <c r="E41" s="13"/>
      <c r="F41" s="34">
        <f>IF(D$12=0,0,D41/D$12)</f>
        <v>0</v>
      </c>
      <c r="G41" s="13"/>
      <c r="H41" s="36">
        <f>+H37-H39</f>
        <v>-5016.2</v>
      </c>
      <c r="I41" s="13"/>
      <c r="J41" s="34">
        <f>IF(H$12=0,0,H41/H$12)</f>
        <v>0</v>
      </c>
      <c r="K41" s="16"/>
      <c r="L41" s="36">
        <f>D41-H41</f>
        <v>5016.2</v>
      </c>
      <c r="M41" s="16"/>
      <c r="N41" s="34">
        <f>IF(H41=0,0,L41/H41)</f>
        <v>-1</v>
      </c>
      <c r="O41" s="25"/>
      <c r="P41" s="36">
        <f>+P37-P39</f>
        <v>0</v>
      </c>
      <c r="Q41" s="13"/>
      <c r="R41" s="34">
        <f>IF(P$12=0,0,P41/P$12)</f>
        <v>0</v>
      </c>
      <c r="S41" s="13"/>
      <c r="T41" s="36">
        <f>+T37-T39</f>
        <v>-5016.2</v>
      </c>
      <c r="U41" s="13"/>
      <c r="V41" s="34">
        <f>IF(T$12=0,0,T41/T$12)</f>
        <v>0</v>
      </c>
      <c r="W41" s="16"/>
      <c r="X41" s="36">
        <f>P41-T41</f>
        <v>5016.2</v>
      </c>
      <c r="Y41" s="16"/>
      <c r="Z41" s="34">
        <f>IF(T41=0,0,X41/T41)</f>
        <v>-1</v>
      </c>
    </row>
    <row r="42" spans="1:26" ht="15" thickTop="1" x14ac:dyDescent="0.3">
      <c r="A42" s="9"/>
      <c r="B42" s="9"/>
      <c r="C42" s="9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x14ac:dyDescent="0.3">
      <c r="A43" s="9"/>
      <c r="B43" s="9"/>
      <c r="C43" s="9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23" customFormat="1" ht="15" thickBot="1" x14ac:dyDescent="0.35">
      <c r="A44" s="10"/>
      <c r="B44" s="26" t="s">
        <v>293</v>
      </c>
      <c r="C44" s="26"/>
      <c r="D44" s="31">
        <f>SUM(D41:D43)</f>
        <v>0</v>
      </c>
      <c r="E44" s="13"/>
      <c r="F44" s="33">
        <f>IF(D$12=0,0,D44/D$12)</f>
        <v>0</v>
      </c>
      <c r="G44" s="13"/>
      <c r="H44" s="31">
        <f>SUM(H41:H43)</f>
        <v>-5016.2</v>
      </c>
      <c r="I44" s="13"/>
      <c r="J44" s="33">
        <f>IF(H$12=0,0,H44/H$12)</f>
        <v>0</v>
      </c>
      <c r="K44" s="16"/>
      <c r="L44" s="31">
        <f>+D44-H44</f>
        <v>5016.2</v>
      </c>
      <c r="M44" s="16"/>
      <c r="N44" s="33">
        <f>IF(H44=0,0,L44/H44)</f>
        <v>-1</v>
      </c>
      <c r="O44" s="25"/>
      <c r="P44" s="31">
        <f>SUM(P41:P43)</f>
        <v>0</v>
      </c>
      <c r="Q44" s="13"/>
      <c r="R44" s="33">
        <f>IF(P$12=0,0,P44/P$12)</f>
        <v>0</v>
      </c>
      <c r="S44" s="13"/>
      <c r="T44" s="31">
        <f>SUM(T41:T43)</f>
        <v>-5016.2</v>
      </c>
      <c r="U44" s="13"/>
      <c r="V44" s="33">
        <f>IF(T$12=0,0,T44/T$12)</f>
        <v>0</v>
      </c>
      <c r="W44" s="16"/>
      <c r="X44" s="31">
        <f>+P44-T44</f>
        <v>5016.2</v>
      </c>
      <c r="Y44" s="16"/>
      <c r="Z44" s="33">
        <f>IF(T44=0,0,X44/T44)</f>
        <v>-1</v>
      </c>
    </row>
    <row r="45" spans="1:26" ht="15" thickTop="1" x14ac:dyDescent="0.3">
      <c r="A45" s="9"/>
      <c r="C45" s="9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59">
        <v>44462.666945868055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A47" s="9"/>
      <c r="B47" s="57" t="s">
        <v>56</v>
      </c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">
      <c r="A48" s="9"/>
      <c r="B48" s="61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4:24" x14ac:dyDescent="0.3"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217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0</v>
      </c>
      <c r="E14" s="4"/>
      <c r="F14" s="11">
        <f t="shared" ref="F14:F15" si="0">IF(D$12=0,0,D14/D$12)</f>
        <v>0</v>
      </c>
      <c r="G14" s="4"/>
      <c r="H14" s="4">
        <f>SUM(OSRRefH16x_0)</f>
        <v>0</v>
      </c>
      <c r="I14" s="4"/>
      <c r="J14" s="11">
        <f t="shared" ref="J14:J15" si="1">IF(H$12=0,0,H14/H$12)</f>
        <v>0</v>
      </c>
      <c r="K14" s="4"/>
      <c r="L14" s="4">
        <f t="shared" ref="L14:L15" si="2">+D14-H14</f>
        <v>0</v>
      </c>
      <c r="M14" s="4"/>
      <c r="N14" s="11">
        <f t="shared" ref="N14:N15" si="3">IF(H14=0,0,L14/H14)</f>
        <v>0</v>
      </c>
      <c r="O14" s="10"/>
      <c r="P14" s="4">
        <f>SUM(OSRRefP16x_0)</f>
        <v>0</v>
      </c>
      <c r="Q14" s="4"/>
      <c r="R14" s="11">
        <f t="shared" ref="R14:R15" si="4">IF(P$12=0,0,P14/P$12)</f>
        <v>0</v>
      </c>
      <c r="S14" s="4"/>
      <c r="T14" s="4">
        <f>SUM(OSRRefT16x_0)</f>
        <v>0</v>
      </c>
      <c r="U14" s="4"/>
      <c r="V14" s="11">
        <f t="shared" ref="V14:V15" si="5">IF(T$12=0,0,T14/T$12)</f>
        <v>0</v>
      </c>
      <c r="W14" s="4"/>
      <c r="X14" s="4">
        <f t="shared" ref="X14:X15" si="6">+P14-T14</f>
        <v>0</v>
      </c>
      <c r="Y14" s="4"/>
      <c r="Z14" s="11">
        <f t="shared" ref="Z14:Z15" si="7">IF(T14=0,0,X14/T14)</f>
        <v>0</v>
      </c>
    </row>
    <row r="15" spans="1:26" s="24" customFormat="1" hidden="1" outlineLevel="1" x14ac:dyDescent="0.3">
      <c r="A15" s="50"/>
      <c r="B15" s="12" t="str">
        <f>CONCATENATE("          ", "5053", " - ", "PURCHASES @ COST-FOOD")</f>
        <v xml:space="preserve">          5053 - PURCHASES @ COST-FOOD</v>
      </c>
      <c r="C15" s="12"/>
      <c r="D15" s="3">
        <v>0</v>
      </c>
      <c r="E15" s="3"/>
      <c r="F15" s="22">
        <f t="shared" si="0"/>
        <v>0</v>
      </c>
      <c r="G15" s="3"/>
      <c r="H15" s="3"/>
      <c r="I15" s="3"/>
      <c r="J15" s="22">
        <f t="shared" si="1"/>
        <v>0</v>
      </c>
      <c r="K15" s="3"/>
      <c r="L15" s="3">
        <f t="shared" si="2"/>
        <v>0</v>
      </c>
      <c r="M15" s="3"/>
      <c r="N15" s="22">
        <f t="shared" si="3"/>
        <v>0</v>
      </c>
      <c r="O15" s="12"/>
      <c r="P15" s="3">
        <v>0</v>
      </c>
      <c r="Q15" s="3"/>
      <c r="R15" s="22">
        <f t="shared" si="4"/>
        <v>0</v>
      </c>
      <c r="S15" s="3"/>
      <c r="T15" s="3"/>
      <c r="U15" s="3"/>
      <c r="V15" s="22">
        <f t="shared" si="5"/>
        <v>0</v>
      </c>
      <c r="W15" s="3"/>
      <c r="X15" s="3">
        <f t="shared" si="6"/>
        <v>0</v>
      </c>
      <c r="Y15" s="3"/>
      <c r="Z15" s="22">
        <f t="shared" si="7"/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D12-D14</f>
        <v>0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5"/>
      <c r="P17" s="20">
        <f>P12-P14</f>
        <v>0</v>
      </c>
      <c r="Q17" s="13"/>
      <c r="R17" s="21">
        <f>IF(P$12=0,0,P17/P$12)</f>
        <v>0</v>
      </c>
      <c r="S17" s="13"/>
      <c r="T17" s="20">
        <f>T12-T14</f>
        <v>0</v>
      </c>
      <c r="U17" s="13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10022.300000000001</v>
      </c>
      <c r="E19" s="19"/>
      <c r="F19" s="35">
        <f t="shared" ref="F19:F25" si="8">IF(D$12=0,0,D19/D$12)</f>
        <v>0</v>
      </c>
      <c r="G19" s="19"/>
      <c r="H19" s="19">
        <f>SUM(OSRRefH22x_0)</f>
        <v>14436.4</v>
      </c>
      <c r="I19" s="19"/>
      <c r="J19" s="35">
        <f t="shared" ref="J19:J25" si="9">IF(H$12=0,0,H19/H$12)</f>
        <v>0</v>
      </c>
      <c r="K19" s="4"/>
      <c r="L19" s="19">
        <f t="shared" ref="L19:L25" si="10">+D19-H19</f>
        <v>-4414.0999999999985</v>
      </c>
      <c r="M19" s="4"/>
      <c r="N19" s="35">
        <f t="shared" ref="N19:N25" si="11">IF(H19=0,0,L19/H19)</f>
        <v>-0.30576182427752063</v>
      </c>
      <c r="O19" s="10"/>
      <c r="P19" s="19">
        <f>SUM(OSRRefP22x_0)</f>
        <v>10022.300000000001</v>
      </c>
      <c r="Q19" s="19"/>
      <c r="R19" s="35">
        <f t="shared" ref="R19:R25" si="12">IF(P$12=0,0,P19/P$12)</f>
        <v>0</v>
      </c>
      <c r="S19" s="19"/>
      <c r="T19" s="19">
        <f>SUM(OSRRefT22x_0)</f>
        <v>14436.4</v>
      </c>
      <c r="U19" s="19"/>
      <c r="V19" s="35">
        <f t="shared" ref="V19:V25" si="13">IF(T$12=0,0,T19/T$12)</f>
        <v>0</v>
      </c>
      <c r="W19" s="4"/>
      <c r="X19" s="19">
        <f t="shared" ref="X19:X25" si="14">+P19-T19</f>
        <v>-4414.0999999999985</v>
      </c>
      <c r="Y19" s="4"/>
      <c r="Z19" s="35">
        <f t="shared" ref="Z19:Z25" si="15">IF(T19=0,0,X19/T19)</f>
        <v>-0.30576182427752063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2889.72</v>
      </c>
      <c r="I20" s="1"/>
      <c r="J20" s="5">
        <f t="shared" si="9"/>
        <v>0</v>
      </c>
      <c r="K20" s="1"/>
      <c r="L20" s="1">
        <f t="shared" si="10"/>
        <v>-2889.72</v>
      </c>
      <c r="M20" s="1"/>
      <c r="N20" s="5">
        <f t="shared" si="11"/>
        <v>-1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2889.72</v>
      </c>
      <c r="U20" s="1"/>
      <c r="V20" s="5">
        <f t="shared" si="13"/>
        <v>0</v>
      </c>
      <c r="W20" s="1"/>
      <c r="X20" s="1">
        <f t="shared" si="14"/>
        <v>-2889.72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2" t="str">
        <f>CONCATENATE("          ", "6111", " - ", "F.I.C.A.")</f>
        <v xml:space="preserve">          6111 - F.I.C.A.</v>
      </c>
      <c r="C21" s="12"/>
      <c r="D21" s="8"/>
      <c r="E21" s="3"/>
      <c r="F21" s="7">
        <f t="shared" si="8"/>
        <v>0</v>
      </c>
      <c r="G21" s="3"/>
      <c r="H21" s="8">
        <v>159.12</v>
      </c>
      <c r="I21" s="3"/>
      <c r="J21" s="7">
        <f t="shared" si="9"/>
        <v>0</v>
      </c>
      <c r="K21" s="3"/>
      <c r="L21" s="8">
        <f t="shared" si="10"/>
        <v>-159.12</v>
      </c>
      <c r="M21" s="3"/>
      <c r="N21" s="7">
        <f t="shared" si="11"/>
        <v>-1</v>
      </c>
      <c r="O21" s="12"/>
      <c r="P21" s="8"/>
      <c r="Q21" s="3"/>
      <c r="R21" s="7">
        <f t="shared" si="12"/>
        <v>0</v>
      </c>
      <c r="S21" s="3"/>
      <c r="T21" s="8">
        <v>159.12</v>
      </c>
      <c r="U21" s="3"/>
      <c r="V21" s="7">
        <f t="shared" si="13"/>
        <v>0</v>
      </c>
      <c r="W21" s="3"/>
      <c r="X21" s="8">
        <f t="shared" si="14"/>
        <v>-159.12</v>
      </c>
      <c r="Y21" s="3"/>
      <c r="Z21" s="7">
        <f t="shared" si="15"/>
        <v>-1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/>
      <c r="E22" s="3"/>
      <c r="F22" s="7">
        <f t="shared" si="8"/>
        <v>0</v>
      </c>
      <c r="G22" s="3"/>
      <c r="H22" s="8">
        <v>1915.63</v>
      </c>
      <c r="I22" s="3"/>
      <c r="J22" s="7">
        <f t="shared" si="9"/>
        <v>0</v>
      </c>
      <c r="K22" s="3"/>
      <c r="L22" s="8">
        <f t="shared" si="10"/>
        <v>-1915.63</v>
      </c>
      <c r="M22" s="3"/>
      <c r="N22" s="7">
        <f t="shared" si="11"/>
        <v>-1</v>
      </c>
      <c r="O22" s="12"/>
      <c r="P22" s="8"/>
      <c r="Q22" s="3"/>
      <c r="R22" s="7">
        <f t="shared" si="12"/>
        <v>0</v>
      </c>
      <c r="S22" s="3"/>
      <c r="T22" s="8">
        <v>1915.63</v>
      </c>
      <c r="U22" s="3"/>
      <c r="V22" s="7">
        <f t="shared" si="13"/>
        <v>0</v>
      </c>
      <c r="W22" s="3"/>
      <c r="X22" s="8">
        <f t="shared" si="14"/>
        <v>-1915.63</v>
      </c>
      <c r="Y22" s="3"/>
      <c r="Z22" s="7">
        <f t="shared" si="15"/>
        <v>-1</v>
      </c>
    </row>
    <row r="23" spans="1:26" s="24" customFormat="1" hidden="1" outlineLevel="2" x14ac:dyDescent="0.3">
      <c r="A23" s="27"/>
      <c r="B23" s="12" t="str">
        <f>CONCATENATE("          ", "6115", " - ", "P.E.R.S.")</f>
        <v xml:space="preserve">          6115 - P.E.R.S.</v>
      </c>
      <c r="C23" s="12"/>
      <c r="D23" s="8"/>
      <c r="E23" s="3"/>
      <c r="F23" s="7">
        <f t="shared" si="8"/>
        <v>0</v>
      </c>
      <c r="G23" s="3"/>
      <c r="H23" s="8">
        <v>458.89</v>
      </c>
      <c r="I23" s="3"/>
      <c r="J23" s="7">
        <f t="shared" si="9"/>
        <v>0</v>
      </c>
      <c r="K23" s="3"/>
      <c r="L23" s="8">
        <f t="shared" si="10"/>
        <v>-458.89</v>
      </c>
      <c r="M23" s="3"/>
      <c r="N23" s="7">
        <f t="shared" si="11"/>
        <v>-1</v>
      </c>
      <c r="O23" s="12"/>
      <c r="P23" s="8"/>
      <c r="Q23" s="3"/>
      <c r="R23" s="7">
        <f t="shared" si="12"/>
        <v>0</v>
      </c>
      <c r="S23" s="3"/>
      <c r="T23" s="8">
        <v>458.89</v>
      </c>
      <c r="U23" s="3"/>
      <c r="V23" s="7">
        <f t="shared" si="13"/>
        <v>0</v>
      </c>
      <c r="W23" s="3"/>
      <c r="X23" s="8">
        <f t="shared" si="14"/>
        <v>-458.89</v>
      </c>
      <c r="Y23" s="3"/>
      <c r="Z23" s="7">
        <f t="shared" si="15"/>
        <v>-1</v>
      </c>
    </row>
    <row r="24" spans="1:26" s="24" customFormat="1" hidden="1" outlineLevel="2" x14ac:dyDescent="0.3">
      <c r="A24" s="27"/>
      <c r="B24" s="12" t="str">
        <f>CONCATENATE("          ", "6118", " - ", "VACATION")</f>
        <v xml:space="preserve">          6118 - VACATION</v>
      </c>
      <c r="C24" s="12"/>
      <c r="D24" s="8"/>
      <c r="E24" s="3"/>
      <c r="F24" s="7">
        <f t="shared" si="8"/>
        <v>0</v>
      </c>
      <c r="G24" s="3"/>
      <c r="H24" s="8">
        <v>152.1</v>
      </c>
      <c r="I24" s="3"/>
      <c r="J24" s="7">
        <f t="shared" si="9"/>
        <v>0</v>
      </c>
      <c r="K24" s="3"/>
      <c r="L24" s="8">
        <f t="shared" si="10"/>
        <v>-152.1</v>
      </c>
      <c r="M24" s="3"/>
      <c r="N24" s="7">
        <f t="shared" si="11"/>
        <v>-1</v>
      </c>
      <c r="O24" s="12"/>
      <c r="P24" s="8"/>
      <c r="Q24" s="3"/>
      <c r="R24" s="7">
        <f t="shared" si="12"/>
        <v>0</v>
      </c>
      <c r="S24" s="3"/>
      <c r="T24" s="8">
        <v>152.1</v>
      </c>
      <c r="U24" s="3"/>
      <c r="V24" s="7">
        <f t="shared" si="13"/>
        <v>0</v>
      </c>
      <c r="W24" s="3"/>
      <c r="X24" s="8">
        <f t="shared" si="14"/>
        <v>-152.1</v>
      </c>
      <c r="Y24" s="3"/>
      <c r="Z24" s="7">
        <f t="shared" si="15"/>
        <v>-1</v>
      </c>
    </row>
    <row r="25" spans="1:26" s="24" customFormat="1" hidden="1" outlineLevel="2" x14ac:dyDescent="0.3">
      <c r="A25" s="27"/>
      <c r="B25" s="12" t="str">
        <f>CONCATENATE("          ", "6119", " - ", "SICK LEAVE")</f>
        <v xml:space="preserve">          6119 - SICK LEAVE</v>
      </c>
      <c r="C25" s="12"/>
      <c r="D25" s="8"/>
      <c r="E25" s="3"/>
      <c r="F25" s="7">
        <f t="shared" si="8"/>
        <v>0</v>
      </c>
      <c r="G25" s="3"/>
      <c r="H25" s="8">
        <v>203.98</v>
      </c>
      <c r="I25" s="3"/>
      <c r="J25" s="7">
        <f t="shared" si="9"/>
        <v>0</v>
      </c>
      <c r="K25" s="3"/>
      <c r="L25" s="8">
        <f t="shared" si="10"/>
        <v>-203.98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203.98</v>
      </c>
      <c r="U25" s="3"/>
      <c r="V25" s="7">
        <f t="shared" si="13"/>
        <v>0</v>
      </c>
      <c r="W25" s="3"/>
      <c r="X25" s="8">
        <f t="shared" si="14"/>
        <v>-203.98</v>
      </c>
      <c r="Y25" s="3"/>
      <c r="Z25" s="7">
        <f t="shared" si="15"/>
        <v>-1</v>
      </c>
    </row>
    <row r="26" spans="1:26" s="29" customFormat="1" outlineLevel="1" collapsed="1" x14ac:dyDescent="0.3">
      <c r="A26" s="28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2" si="16">IF(D$12=0,0,D26/D$12)</f>
        <v>0</v>
      </c>
      <c r="G26" s="1"/>
      <c r="H26" s="1">
        <f>SUM(OSRRefH22_1x_0)</f>
        <v>884</v>
      </c>
      <c r="I26" s="1"/>
      <c r="J26" s="5">
        <f t="shared" ref="J26:J32" si="17">IF(H$12=0,0,H26/H$12)</f>
        <v>0</v>
      </c>
      <c r="K26" s="1"/>
      <c r="L26" s="1">
        <f t="shared" ref="L26:L32" si="18">+D26-H26</f>
        <v>-884</v>
      </c>
      <c r="M26" s="1"/>
      <c r="N26" s="5">
        <f t="shared" ref="N26:N32" si="19">IF(H26=0,0,L26/H26)</f>
        <v>-1</v>
      </c>
      <c r="O26" s="14"/>
      <c r="P26" s="1">
        <f>SUM(OSRRefP22_1x_0)</f>
        <v>0</v>
      </c>
      <c r="Q26" s="1"/>
      <c r="R26" s="5">
        <f t="shared" ref="R26:R32" si="20">IF(P$12=0,0,P26/P$12)</f>
        <v>0</v>
      </c>
      <c r="S26" s="1"/>
      <c r="T26" s="1">
        <f>SUM(OSRRefT22_1x_0)</f>
        <v>884</v>
      </c>
      <c r="U26" s="1"/>
      <c r="V26" s="5">
        <f t="shared" ref="V26:V32" si="21">IF(T$12=0,0,T26/T$12)</f>
        <v>0</v>
      </c>
      <c r="W26" s="1"/>
      <c r="X26" s="1">
        <f t="shared" ref="X26:X32" si="22">+P26-T26</f>
        <v>-884</v>
      </c>
      <c r="Y26" s="1"/>
      <c r="Z26" s="5">
        <f t="shared" ref="Z26:Z32" si="23">IF(T26=0,0,X26/T26)</f>
        <v>-1</v>
      </c>
    </row>
    <row r="27" spans="1:26" s="24" customFormat="1" hidden="1" outlineLevel="2" x14ac:dyDescent="0.3">
      <c r="A27" s="27"/>
      <c r="B27" s="12" t="str">
        <f>CONCATENATE("          ", "6002", " - ", "STAFF SALARIES")</f>
        <v xml:space="preserve">          6002 - STAFF SALARIES</v>
      </c>
      <c r="C27" s="12"/>
      <c r="D27" s="8"/>
      <c r="E27" s="3"/>
      <c r="F27" s="7">
        <f t="shared" si="16"/>
        <v>0</v>
      </c>
      <c r="G27" s="3"/>
      <c r="H27" s="8">
        <v>884</v>
      </c>
      <c r="I27" s="3"/>
      <c r="J27" s="7">
        <f t="shared" si="17"/>
        <v>0</v>
      </c>
      <c r="K27" s="3"/>
      <c r="L27" s="8">
        <f t="shared" si="18"/>
        <v>-884</v>
      </c>
      <c r="M27" s="3"/>
      <c r="N27" s="7">
        <f t="shared" si="19"/>
        <v>-1</v>
      </c>
      <c r="O27" s="12"/>
      <c r="P27" s="8"/>
      <c r="Q27" s="3"/>
      <c r="R27" s="7">
        <f t="shared" si="20"/>
        <v>0</v>
      </c>
      <c r="S27" s="3"/>
      <c r="T27" s="8">
        <v>884</v>
      </c>
      <c r="U27" s="3"/>
      <c r="V27" s="7">
        <f t="shared" si="21"/>
        <v>0</v>
      </c>
      <c r="W27" s="3"/>
      <c r="X27" s="8">
        <f t="shared" si="22"/>
        <v>-884</v>
      </c>
      <c r="Y27" s="3"/>
      <c r="Z27" s="7">
        <f t="shared" si="23"/>
        <v>-1</v>
      </c>
    </row>
    <row r="28" spans="1:26" s="29" customFormat="1" outlineLevel="1" collapsed="1" x14ac:dyDescent="0.3">
      <c r="A28" s="28"/>
      <c r="B28" s="14" t="str">
        <f>CONCATENATE("     ","Bank/card Fees                                    ")</f>
        <v xml:space="preserve">     Bank/card Fees                                    </v>
      </c>
      <c r="C28" s="14"/>
      <c r="D28" s="1">
        <f>SUM(OSRRefD22_2x_0)</f>
        <v>0.34</v>
      </c>
      <c r="E28" s="1"/>
      <c r="F28" s="5">
        <f t="shared" si="16"/>
        <v>0</v>
      </c>
      <c r="G28" s="1"/>
      <c r="H28" s="1">
        <f>SUM(OSRRefH22_2x_0)</f>
        <v>0</v>
      </c>
      <c r="I28" s="1"/>
      <c r="J28" s="5">
        <f t="shared" si="17"/>
        <v>0</v>
      </c>
      <c r="K28" s="1"/>
      <c r="L28" s="1">
        <f t="shared" si="18"/>
        <v>0.34</v>
      </c>
      <c r="M28" s="1"/>
      <c r="N28" s="5">
        <f t="shared" si="19"/>
        <v>0</v>
      </c>
      <c r="O28" s="14"/>
      <c r="P28" s="1">
        <f>SUM(OSRRefP22_2x_0)</f>
        <v>0.34</v>
      </c>
      <c r="Q28" s="1"/>
      <c r="R28" s="5">
        <f t="shared" si="20"/>
        <v>0</v>
      </c>
      <c r="S28" s="1"/>
      <c r="T28" s="1">
        <f>SUM(OSRRefT22_2x_0)</f>
        <v>0</v>
      </c>
      <c r="U28" s="1"/>
      <c r="V28" s="5">
        <f t="shared" si="21"/>
        <v>0</v>
      </c>
      <c r="W28" s="1"/>
      <c r="X28" s="1">
        <f t="shared" si="22"/>
        <v>0.34</v>
      </c>
      <c r="Y28" s="1"/>
      <c r="Z28" s="5">
        <f t="shared" si="23"/>
        <v>0</v>
      </c>
    </row>
    <row r="29" spans="1:26" s="24" customFormat="1" hidden="1" outlineLevel="2" x14ac:dyDescent="0.3">
      <c r="A29" s="27"/>
      <c r="B29" s="12" t="str">
        <f>CONCATENATE("          ", "6381", " - ", "BANK/CREDIT CARD FEES")</f>
        <v xml:space="preserve">          6381 - BANK/CREDIT CARD FEES</v>
      </c>
      <c r="C29" s="12"/>
      <c r="D29" s="8">
        <v>0.34</v>
      </c>
      <c r="E29" s="3"/>
      <c r="F29" s="7">
        <f t="shared" si="16"/>
        <v>0</v>
      </c>
      <c r="G29" s="3"/>
      <c r="H29" s="8"/>
      <c r="I29" s="3"/>
      <c r="J29" s="7">
        <f t="shared" si="17"/>
        <v>0</v>
      </c>
      <c r="K29" s="3"/>
      <c r="L29" s="8">
        <f t="shared" si="18"/>
        <v>0.34</v>
      </c>
      <c r="M29" s="3"/>
      <c r="N29" s="7">
        <f t="shared" si="19"/>
        <v>0</v>
      </c>
      <c r="O29" s="12"/>
      <c r="P29" s="8">
        <v>0.34</v>
      </c>
      <c r="Q29" s="3"/>
      <c r="R29" s="7">
        <f t="shared" si="20"/>
        <v>0</v>
      </c>
      <c r="S29" s="3"/>
      <c r="T29" s="8"/>
      <c r="U29" s="3"/>
      <c r="V29" s="7">
        <f t="shared" si="21"/>
        <v>0</v>
      </c>
      <c r="W29" s="3"/>
      <c r="X29" s="8">
        <f t="shared" si="22"/>
        <v>0.34</v>
      </c>
      <c r="Y29" s="3"/>
      <c r="Z29" s="7">
        <f t="shared" si="23"/>
        <v>0</v>
      </c>
    </row>
    <row r="30" spans="1:26" s="29" customFormat="1" outlineLevel="1" collapsed="1" x14ac:dyDescent="0.3">
      <c r="A30" s="28"/>
      <c r="B30" s="14" t="str">
        <f>CONCATENATE("     ","Depreciation                                      ")</f>
        <v xml:space="preserve">     Depreciation                                      </v>
      </c>
      <c r="C30" s="14"/>
      <c r="D30" s="1">
        <f>SUM(OSRRefD22_3x_0)</f>
        <v>5471.21</v>
      </c>
      <c r="E30" s="1"/>
      <c r="F30" s="5">
        <f t="shared" si="16"/>
        <v>0</v>
      </c>
      <c r="G30" s="1"/>
      <c r="H30" s="1">
        <f>SUM(OSRRefH22_3x_0)</f>
        <v>5582.59</v>
      </c>
      <c r="I30" s="1"/>
      <c r="J30" s="5">
        <f t="shared" si="17"/>
        <v>0</v>
      </c>
      <c r="K30" s="1"/>
      <c r="L30" s="1">
        <f t="shared" si="18"/>
        <v>-111.38000000000011</v>
      </c>
      <c r="M30" s="1"/>
      <c r="N30" s="5">
        <f t="shared" si="19"/>
        <v>-1.995131292106354E-2</v>
      </c>
      <c r="O30" s="14"/>
      <c r="P30" s="1">
        <f>SUM(OSRRefP22_3x_0)</f>
        <v>5471.21</v>
      </c>
      <c r="Q30" s="1"/>
      <c r="R30" s="5">
        <f t="shared" si="20"/>
        <v>0</v>
      </c>
      <c r="S30" s="1"/>
      <c r="T30" s="1">
        <f>SUM(OSRRefT22_3x_0)</f>
        <v>5582.59</v>
      </c>
      <c r="U30" s="1"/>
      <c r="V30" s="5">
        <f t="shared" si="21"/>
        <v>0</v>
      </c>
      <c r="W30" s="1"/>
      <c r="X30" s="1">
        <f t="shared" si="22"/>
        <v>-111.38000000000011</v>
      </c>
      <c r="Y30" s="1"/>
      <c r="Z30" s="5">
        <f t="shared" si="23"/>
        <v>-1.995131292106354E-2</v>
      </c>
    </row>
    <row r="31" spans="1:26" s="24" customFormat="1" hidden="1" outlineLevel="2" x14ac:dyDescent="0.3">
      <c r="A31" s="27"/>
      <c r="B31" s="12" t="str">
        <f>CONCATENATE("          ", "6321", " - ", "BUILDING DEPRECIATION")</f>
        <v xml:space="preserve">          6321 - BUILDING DEPRECIATION</v>
      </c>
      <c r="C31" s="12"/>
      <c r="D31" s="8">
        <v>5080.51</v>
      </c>
      <c r="E31" s="3"/>
      <c r="F31" s="7">
        <f t="shared" si="16"/>
        <v>0</v>
      </c>
      <c r="G31" s="3"/>
      <c r="H31" s="8">
        <v>5080.51</v>
      </c>
      <c r="I31" s="3"/>
      <c r="J31" s="7">
        <f t="shared" si="17"/>
        <v>0</v>
      </c>
      <c r="K31" s="3"/>
      <c r="L31" s="8">
        <f t="shared" si="18"/>
        <v>0</v>
      </c>
      <c r="M31" s="3"/>
      <c r="N31" s="7">
        <f t="shared" si="19"/>
        <v>0</v>
      </c>
      <c r="O31" s="12"/>
      <c r="P31" s="8">
        <v>5080.51</v>
      </c>
      <c r="Q31" s="3"/>
      <c r="R31" s="7">
        <f t="shared" si="20"/>
        <v>0</v>
      </c>
      <c r="S31" s="3"/>
      <c r="T31" s="8">
        <v>5080.51</v>
      </c>
      <c r="U31" s="3"/>
      <c r="V31" s="7">
        <f t="shared" si="21"/>
        <v>0</v>
      </c>
      <c r="W31" s="3"/>
      <c r="X31" s="8">
        <f t="shared" si="22"/>
        <v>0</v>
      </c>
      <c r="Y31" s="3"/>
      <c r="Z31" s="7">
        <f t="shared" si="23"/>
        <v>0</v>
      </c>
    </row>
    <row r="32" spans="1:26" s="24" customFormat="1" hidden="1" outlineLevel="2" x14ac:dyDescent="0.3">
      <c r="A32" s="27"/>
      <c r="B32" s="12" t="str">
        <f>CONCATENATE("          ", "6322", " - ", "EQUIPMENT DEPRECIATION EXPENSE")</f>
        <v xml:space="preserve">          6322 - EQUIPMENT DEPRECIATION EXPENSE</v>
      </c>
      <c r="C32" s="12"/>
      <c r="D32" s="8">
        <v>390.7</v>
      </c>
      <c r="E32" s="3"/>
      <c r="F32" s="7">
        <f t="shared" si="16"/>
        <v>0</v>
      </c>
      <c r="G32" s="3"/>
      <c r="H32" s="8">
        <v>502.08</v>
      </c>
      <c r="I32" s="3"/>
      <c r="J32" s="7">
        <f t="shared" si="17"/>
        <v>0</v>
      </c>
      <c r="K32" s="3"/>
      <c r="L32" s="8">
        <f t="shared" si="18"/>
        <v>-111.38</v>
      </c>
      <c r="M32" s="3"/>
      <c r="N32" s="7">
        <f t="shared" si="19"/>
        <v>-0.22183715742511154</v>
      </c>
      <c r="O32" s="12"/>
      <c r="P32" s="8">
        <v>390.7</v>
      </c>
      <c r="Q32" s="3"/>
      <c r="R32" s="7">
        <f t="shared" si="20"/>
        <v>0</v>
      </c>
      <c r="S32" s="3"/>
      <c r="T32" s="8">
        <v>502.08</v>
      </c>
      <c r="U32" s="3"/>
      <c r="V32" s="7">
        <f t="shared" si="21"/>
        <v>0</v>
      </c>
      <c r="W32" s="3"/>
      <c r="X32" s="8">
        <f t="shared" si="22"/>
        <v>-111.38</v>
      </c>
      <c r="Y32" s="3"/>
      <c r="Z32" s="7">
        <f t="shared" si="23"/>
        <v>-0.22183715742511154</v>
      </c>
    </row>
    <row r="33" spans="1:26" s="29" customFormat="1" outlineLevel="1" collapsed="1" x14ac:dyDescent="0.3">
      <c r="A33" s="28"/>
      <c r="B33" s="14" t="str">
        <f>CONCATENATE("     ","General                                           ")</f>
        <v xml:space="preserve">     General                                           </v>
      </c>
      <c r="C33" s="14"/>
      <c r="D33" s="1">
        <f>SUM(OSRRefD22_4x_0)</f>
        <v>0</v>
      </c>
      <c r="E33" s="1"/>
      <c r="F33" s="5">
        <f t="shared" ref="F33:F44" si="24">IF(D$12=0,0,D33/D$12)</f>
        <v>0</v>
      </c>
      <c r="G33" s="1"/>
      <c r="H33" s="1">
        <f>SUM(OSRRefH22_4x_0)</f>
        <v>754.55</v>
      </c>
      <c r="I33" s="1"/>
      <c r="J33" s="5">
        <f t="shared" ref="J33:J44" si="25">IF(H$12=0,0,H33/H$12)</f>
        <v>0</v>
      </c>
      <c r="K33" s="1"/>
      <c r="L33" s="1">
        <f t="shared" ref="L33:L44" si="26">+D33-H33</f>
        <v>-754.55</v>
      </c>
      <c r="M33" s="1"/>
      <c r="N33" s="5">
        <f t="shared" ref="N33:N44" si="27">IF(H33=0,0,L33/H33)</f>
        <v>-1</v>
      </c>
      <c r="O33" s="14"/>
      <c r="P33" s="1">
        <f>SUM(OSRRefP22_4x_0)</f>
        <v>0</v>
      </c>
      <c r="Q33" s="1"/>
      <c r="R33" s="5">
        <f t="shared" ref="R33:R44" si="28">IF(P$12=0,0,P33/P$12)</f>
        <v>0</v>
      </c>
      <c r="S33" s="1"/>
      <c r="T33" s="1">
        <f>SUM(OSRRefT22_4x_0)</f>
        <v>754.55</v>
      </c>
      <c r="U33" s="1"/>
      <c r="V33" s="5">
        <f t="shared" ref="V33:V44" si="29">IF(T$12=0,0,T33/T$12)</f>
        <v>0</v>
      </c>
      <c r="W33" s="1"/>
      <c r="X33" s="1">
        <f t="shared" ref="X33:X44" si="30">+P33-T33</f>
        <v>-754.55</v>
      </c>
      <c r="Y33" s="1"/>
      <c r="Z33" s="5">
        <f t="shared" ref="Z33:Z44" si="31">IF(T33=0,0,X33/T33)</f>
        <v>-1</v>
      </c>
    </row>
    <row r="34" spans="1:26" s="24" customFormat="1" hidden="1" outlineLevel="2" x14ac:dyDescent="0.3">
      <c r="A34" s="27"/>
      <c r="B34" s="12" t="str">
        <f>CONCATENATE("          ", "6279", " - ", "GENERAL EXPENSE")</f>
        <v xml:space="preserve">          6279 - GENERAL EXPENSE</v>
      </c>
      <c r="C34" s="12"/>
      <c r="D34" s="8"/>
      <c r="E34" s="3"/>
      <c r="F34" s="7">
        <f t="shared" si="24"/>
        <v>0</v>
      </c>
      <c r="G34" s="3"/>
      <c r="H34" s="8">
        <v>754.55</v>
      </c>
      <c r="I34" s="3"/>
      <c r="J34" s="7">
        <f t="shared" si="25"/>
        <v>0</v>
      </c>
      <c r="K34" s="3"/>
      <c r="L34" s="8">
        <f t="shared" si="26"/>
        <v>-754.55</v>
      </c>
      <c r="M34" s="3"/>
      <c r="N34" s="7">
        <f t="shared" si="27"/>
        <v>-1</v>
      </c>
      <c r="O34" s="12"/>
      <c r="P34" s="8"/>
      <c r="Q34" s="3"/>
      <c r="R34" s="7">
        <f t="shared" si="28"/>
        <v>0</v>
      </c>
      <c r="S34" s="3"/>
      <c r="T34" s="8">
        <v>754.55</v>
      </c>
      <c r="U34" s="3"/>
      <c r="V34" s="7">
        <f t="shared" si="29"/>
        <v>0</v>
      </c>
      <c r="W34" s="3"/>
      <c r="X34" s="8">
        <f t="shared" si="30"/>
        <v>-754.55</v>
      </c>
      <c r="Y34" s="3"/>
      <c r="Z34" s="7">
        <f t="shared" si="31"/>
        <v>-1</v>
      </c>
    </row>
    <row r="35" spans="1:26" s="29" customFormat="1" outlineLevel="1" collapsed="1" x14ac:dyDescent="0.3">
      <c r="A35" s="28"/>
      <c r="B35" s="14" t="str">
        <f>CONCATENATE("     ","Insurance                                         ")</f>
        <v xml:space="preserve">     Insurance                                         </v>
      </c>
      <c r="C35" s="14"/>
      <c r="D35" s="1">
        <f>SUM(OSRRefD22_5x_0)</f>
        <v>331.01</v>
      </c>
      <c r="E35" s="1"/>
      <c r="F35" s="5">
        <f t="shared" si="24"/>
        <v>0</v>
      </c>
      <c r="G35" s="1"/>
      <c r="H35" s="1">
        <f>SUM(OSRRefH22_5x_0)</f>
        <v>243.54</v>
      </c>
      <c r="I35" s="1"/>
      <c r="J35" s="5">
        <f t="shared" si="25"/>
        <v>0</v>
      </c>
      <c r="K35" s="1"/>
      <c r="L35" s="1">
        <f t="shared" si="26"/>
        <v>87.47</v>
      </c>
      <c r="M35" s="1"/>
      <c r="N35" s="5">
        <f t="shared" si="27"/>
        <v>0.35916071281924944</v>
      </c>
      <c r="O35" s="14"/>
      <c r="P35" s="1">
        <f>SUM(OSRRefP22_5x_0)</f>
        <v>331.01</v>
      </c>
      <c r="Q35" s="1"/>
      <c r="R35" s="5">
        <f t="shared" si="28"/>
        <v>0</v>
      </c>
      <c r="S35" s="1"/>
      <c r="T35" s="1">
        <f>SUM(OSRRefT22_5x_0)</f>
        <v>243.54</v>
      </c>
      <c r="U35" s="1"/>
      <c r="V35" s="5">
        <f t="shared" si="29"/>
        <v>0</v>
      </c>
      <c r="W35" s="1"/>
      <c r="X35" s="1">
        <f t="shared" si="30"/>
        <v>87.47</v>
      </c>
      <c r="Y35" s="1"/>
      <c r="Z35" s="5">
        <f t="shared" si="31"/>
        <v>0.35916071281924944</v>
      </c>
    </row>
    <row r="36" spans="1:26" s="24" customFormat="1" hidden="1" outlineLevel="2" x14ac:dyDescent="0.3">
      <c r="A36" s="27"/>
      <c r="B36" s="12" t="str">
        <f>CONCATENATE("          ", "6314", " - ", "LIABILITY INSURANCE")</f>
        <v xml:space="preserve">          6314 - LIABILITY INSURANCE</v>
      </c>
      <c r="C36" s="12"/>
      <c r="D36" s="8">
        <v>331.01</v>
      </c>
      <c r="E36" s="3"/>
      <c r="F36" s="7">
        <f t="shared" si="24"/>
        <v>0</v>
      </c>
      <c r="G36" s="3"/>
      <c r="H36" s="8">
        <v>243.54</v>
      </c>
      <c r="I36" s="3"/>
      <c r="J36" s="7">
        <f t="shared" si="25"/>
        <v>0</v>
      </c>
      <c r="K36" s="3"/>
      <c r="L36" s="8">
        <f t="shared" si="26"/>
        <v>87.47</v>
      </c>
      <c r="M36" s="3"/>
      <c r="N36" s="7">
        <f t="shared" si="27"/>
        <v>0.35916071281924944</v>
      </c>
      <c r="O36" s="12"/>
      <c r="P36" s="8">
        <v>331.01</v>
      </c>
      <c r="Q36" s="3"/>
      <c r="R36" s="7">
        <f t="shared" si="28"/>
        <v>0</v>
      </c>
      <c r="S36" s="3"/>
      <c r="T36" s="8">
        <v>243.54</v>
      </c>
      <c r="U36" s="3"/>
      <c r="V36" s="7">
        <f t="shared" si="29"/>
        <v>0</v>
      </c>
      <c r="W36" s="3"/>
      <c r="X36" s="8">
        <f t="shared" si="30"/>
        <v>87.47</v>
      </c>
      <c r="Y36" s="3"/>
      <c r="Z36" s="7">
        <f t="shared" si="31"/>
        <v>0.35916071281924944</v>
      </c>
    </row>
    <row r="37" spans="1:26" s="29" customFormat="1" outlineLevel="1" collapsed="1" x14ac:dyDescent="0.3">
      <c r="A37" s="28"/>
      <c r="B37" s="14" t="str">
        <f>CONCATENATE("     ","Interest                                          ")</f>
        <v xml:space="preserve">     Interest                                          </v>
      </c>
      <c r="C37" s="14"/>
      <c r="D37" s="1">
        <f>SUM(OSRRefD22_6x_0)</f>
        <v>3905</v>
      </c>
      <c r="E37" s="1"/>
      <c r="F37" s="5">
        <f t="shared" si="24"/>
        <v>0</v>
      </c>
      <c r="G37" s="1"/>
      <c r="H37" s="1">
        <f>SUM(OSRRefH22_6x_0)</f>
        <v>4044</v>
      </c>
      <c r="I37" s="1"/>
      <c r="J37" s="5">
        <f t="shared" si="25"/>
        <v>0</v>
      </c>
      <c r="K37" s="1"/>
      <c r="L37" s="1">
        <f t="shared" si="26"/>
        <v>-139</v>
      </c>
      <c r="M37" s="1"/>
      <c r="N37" s="5">
        <f t="shared" si="27"/>
        <v>-3.4371909000989118E-2</v>
      </c>
      <c r="O37" s="14"/>
      <c r="P37" s="1">
        <f>SUM(OSRRefP22_6x_0)</f>
        <v>3905</v>
      </c>
      <c r="Q37" s="1"/>
      <c r="R37" s="5">
        <f t="shared" si="28"/>
        <v>0</v>
      </c>
      <c r="S37" s="1"/>
      <c r="T37" s="1">
        <f>SUM(OSRRefT22_6x_0)</f>
        <v>4044</v>
      </c>
      <c r="U37" s="1"/>
      <c r="V37" s="5">
        <f t="shared" si="29"/>
        <v>0</v>
      </c>
      <c r="W37" s="1"/>
      <c r="X37" s="1">
        <f t="shared" si="30"/>
        <v>-139</v>
      </c>
      <c r="Y37" s="1"/>
      <c r="Z37" s="5">
        <f t="shared" si="31"/>
        <v>-3.4371909000989118E-2</v>
      </c>
    </row>
    <row r="38" spans="1:26" s="24" customFormat="1" hidden="1" outlineLevel="2" x14ac:dyDescent="0.3">
      <c r="A38" s="27"/>
      <c r="B38" s="12" t="str">
        <f>CONCATENATE("          ", "6401", " - ", "INTEREST EXPENSE")</f>
        <v xml:space="preserve">          6401 - INTEREST EXPENSE</v>
      </c>
      <c r="C38" s="12"/>
      <c r="D38" s="8">
        <v>3905</v>
      </c>
      <c r="E38" s="3"/>
      <c r="F38" s="7">
        <f t="shared" si="24"/>
        <v>0</v>
      </c>
      <c r="G38" s="3"/>
      <c r="H38" s="8">
        <v>4044</v>
      </c>
      <c r="I38" s="3"/>
      <c r="J38" s="7">
        <f t="shared" si="25"/>
        <v>0</v>
      </c>
      <c r="K38" s="3"/>
      <c r="L38" s="8">
        <f t="shared" si="26"/>
        <v>-139</v>
      </c>
      <c r="M38" s="3"/>
      <c r="N38" s="7">
        <f t="shared" si="27"/>
        <v>-3.4371909000989118E-2</v>
      </c>
      <c r="O38" s="12"/>
      <c r="P38" s="8">
        <v>3905</v>
      </c>
      <c r="Q38" s="3"/>
      <c r="R38" s="7">
        <f t="shared" si="28"/>
        <v>0</v>
      </c>
      <c r="S38" s="3"/>
      <c r="T38" s="8">
        <v>4044</v>
      </c>
      <c r="U38" s="3"/>
      <c r="V38" s="7">
        <f t="shared" si="29"/>
        <v>0</v>
      </c>
      <c r="W38" s="3"/>
      <c r="X38" s="8">
        <f t="shared" si="30"/>
        <v>-139</v>
      </c>
      <c r="Y38" s="3"/>
      <c r="Z38" s="7">
        <f t="shared" si="31"/>
        <v>-3.4371909000989118E-2</v>
      </c>
    </row>
    <row r="39" spans="1:26" s="29" customFormat="1" outlineLevel="1" collapsed="1" x14ac:dyDescent="0.3">
      <c r="A39" s="28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SUM(OSRRefD22_7x_0)</f>
        <v>107.74</v>
      </c>
      <c r="E39" s="1"/>
      <c r="F39" s="5">
        <f t="shared" si="24"/>
        <v>0</v>
      </c>
      <c r="G39" s="1"/>
      <c r="H39" s="1">
        <f>SUM(OSRRefH22_7x_0)</f>
        <v>0</v>
      </c>
      <c r="I39" s="1"/>
      <c r="J39" s="5">
        <f t="shared" si="25"/>
        <v>0</v>
      </c>
      <c r="K39" s="1"/>
      <c r="L39" s="1">
        <f t="shared" si="26"/>
        <v>107.74</v>
      </c>
      <c r="M39" s="1"/>
      <c r="N39" s="5">
        <f t="shared" si="27"/>
        <v>0</v>
      </c>
      <c r="O39" s="14"/>
      <c r="P39" s="1">
        <f>SUM(OSRRefP22_7x_0)</f>
        <v>107.74</v>
      </c>
      <c r="Q39" s="1"/>
      <c r="R39" s="5">
        <f t="shared" si="28"/>
        <v>0</v>
      </c>
      <c r="S39" s="1"/>
      <c r="T39" s="1">
        <f>SUM(OSRRefT22_7x_0)</f>
        <v>0</v>
      </c>
      <c r="U39" s="1"/>
      <c r="V39" s="5">
        <f t="shared" si="29"/>
        <v>0</v>
      </c>
      <c r="W39" s="1"/>
      <c r="X39" s="1">
        <f t="shared" si="30"/>
        <v>107.74</v>
      </c>
      <c r="Y39" s="1"/>
      <c r="Z39" s="5">
        <f t="shared" si="31"/>
        <v>0</v>
      </c>
    </row>
    <row r="40" spans="1:26" s="24" customFormat="1" hidden="1" outlineLevel="2" x14ac:dyDescent="0.3">
      <c r="A40" s="27"/>
      <c r="B40" s="12" t="str">
        <f>CONCATENATE("          ", "6241", " - ", "OFFICE EXPENSE")</f>
        <v xml:space="preserve">          6241 - OFFICE EXPENSE</v>
      </c>
      <c r="C40" s="12"/>
      <c r="D40" s="8">
        <v>107.74</v>
      </c>
      <c r="E40" s="3"/>
      <c r="F40" s="7">
        <f t="shared" si="24"/>
        <v>0</v>
      </c>
      <c r="G40" s="3"/>
      <c r="H40" s="8"/>
      <c r="I40" s="3"/>
      <c r="J40" s="7">
        <f t="shared" si="25"/>
        <v>0</v>
      </c>
      <c r="K40" s="3"/>
      <c r="L40" s="8">
        <f t="shared" si="26"/>
        <v>107.74</v>
      </c>
      <c r="M40" s="3"/>
      <c r="N40" s="7">
        <f t="shared" si="27"/>
        <v>0</v>
      </c>
      <c r="O40" s="12"/>
      <c r="P40" s="8">
        <v>107.74</v>
      </c>
      <c r="Q40" s="3"/>
      <c r="R40" s="7">
        <f t="shared" si="28"/>
        <v>0</v>
      </c>
      <c r="S40" s="3"/>
      <c r="T40" s="8"/>
      <c r="U40" s="3"/>
      <c r="V40" s="7">
        <f t="shared" si="29"/>
        <v>0</v>
      </c>
      <c r="W40" s="3"/>
      <c r="X40" s="8">
        <f t="shared" si="30"/>
        <v>107.74</v>
      </c>
      <c r="Y40" s="3"/>
      <c r="Z40" s="7">
        <f t="shared" si="31"/>
        <v>0</v>
      </c>
    </row>
    <row r="41" spans="1:26" s="29" customFormat="1" outlineLevel="1" collapsed="1" x14ac:dyDescent="0.3">
      <c r="A41" s="28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SUM(OSRRefD22_8x_0)</f>
        <v>107</v>
      </c>
      <c r="E41" s="1"/>
      <c r="F41" s="5">
        <f t="shared" si="24"/>
        <v>0</v>
      </c>
      <c r="G41" s="1"/>
      <c r="H41" s="1">
        <f>SUM(OSRRefH22_8x_0)</f>
        <v>38</v>
      </c>
      <c r="I41" s="1"/>
      <c r="J41" s="5">
        <f t="shared" si="25"/>
        <v>0</v>
      </c>
      <c r="K41" s="1"/>
      <c r="L41" s="1">
        <f t="shared" si="26"/>
        <v>69</v>
      </c>
      <c r="M41" s="1"/>
      <c r="N41" s="5">
        <f t="shared" si="27"/>
        <v>1.8157894736842106</v>
      </c>
      <c r="O41" s="14"/>
      <c r="P41" s="1">
        <f>SUM(OSRRefP22_8x_0)</f>
        <v>107</v>
      </c>
      <c r="Q41" s="1"/>
      <c r="R41" s="5">
        <f t="shared" si="28"/>
        <v>0</v>
      </c>
      <c r="S41" s="1"/>
      <c r="T41" s="1">
        <f>SUM(OSRRefT22_8x_0)</f>
        <v>38</v>
      </c>
      <c r="U41" s="1"/>
      <c r="V41" s="5">
        <f t="shared" si="29"/>
        <v>0</v>
      </c>
      <c r="W41" s="1"/>
      <c r="X41" s="1">
        <f t="shared" si="30"/>
        <v>69</v>
      </c>
      <c r="Y41" s="1"/>
      <c r="Z41" s="5">
        <f t="shared" si="31"/>
        <v>1.8157894736842106</v>
      </c>
    </row>
    <row r="42" spans="1:26" s="24" customFormat="1" hidden="1" outlineLevel="2" x14ac:dyDescent="0.3">
      <c r="A42" s="27"/>
      <c r="B42" s="12" t="str">
        <f>CONCATENATE("          ", "6309", " - ", "TELEPHONE")</f>
        <v xml:space="preserve">          6309 - TELEPHONE</v>
      </c>
      <c r="C42" s="12"/>
      <c r="D42" s="8">
        <v>107</v>
      </c>
      <c r="E42" s="3"/>
      <c r="F42" s="7">
        <f t="shared" si="24"/>
        <v>0</v>
      </c>
      <c r="G42" s="3"/>
      <c r="H42" s="8">
        <v>38</v>
      </c>
      <c r="I42" s="3"/>
      <c r="J42" s="7">
        <f t="shared" si="25"/>
        <v>0</v>
      </c>
      <c r="K42" s="3"/>
      <c r="L42" s="8">
        <f t="shared" si="26"/>
        <v>69</v>
      </c>
      <c r="M42" s="3"/>
      <c r="N42" s="7">
        <f t="shared" si="27"/>
        <v>1.8157894736842106</v>
      </c>
      <c r="O42" s="12"/>
      <c r="P42" s="8">
        <v>107</v>
      </c>
      <c r="Q42" s="3"/>
      <c r="R42" s="7">
        <f t="shared" si="28"/>
        <v>0</v>
      </c>
      <c r="S42" s="3"/>
      <c r="T42" s="8">
        <v>38</v>
      </c>
      <c r="U42" s="3"/>
      <c r="V42" s="7">
        <f t="shared" si="29"/>
        <v>0</v>
      </c>
      <c r="W42" s="3"/>
      <c r="X42" s="8">
        <f t="shared" si="30"/>
        <v>69</v>
      </c>
      <c r="Y42" s="3"/>
      <c r="Z42" s="7">
        <f t="shared" si="31"/>
        <v>1.8157894736842106</v>
      </c>
    </row>
    <row r="43" spans="1:26" s="29" customFormat="1" outlineLevel="1" collapsed="1" x14ac:dyDescent="0.3">
      <c r="A43" s="28"/>
      <c r="B43" s="14" t="str">
        <f>CONCATENATE("     ","Utilities                                         ")</f>
        <v xml:space="preserve">     Utilities                                         </v>
      </c>
      <c r="C43" s="14"/>
      <c r="D43" s="1">
        <f>SUM(OSRRefD22_9x_0)</f>
        <v>100</v>
      </c>
      <c r="E43" s="1"/>
      <c r="F43" s="5">
        <f t="shared" si="24"/>
        <v>0</v>
      </c>
      <c r="G43" s="1"/>
      <c r="H43" s="1">
        <f>SUM(OSRRefH22_9x_0)</f>
        <v>0</v>
      </c>
      <c r="I43" s="1"/>
      <c r="J43" s="5">
        <f t="shared" si="25"/>
        <v>0</v>
      </c>
      <c r="K43" s="1"/>
      <c r="L43" s="1">
        <f t="shared" si="26"/>
        <v>100</v>
      </c>
      <c r="M43" s="1"/>
      <c r="N43" s="5">
        <f t="shared" si="27"/>
        <v>0</v>
      </c>
      <c r="O43" s="14"/>
      <c r="P43" s="1">
        <f>SUM(OSRRefP22_9x_0)</f>
        <v>100</v>
      </c>
      <c r="Q43" s="1"/>
      <c r="R43" s="5">
        <f t="shared" si="28"/>
        <v>0</v>
      </c>
      <c r="S43" s="1"/>
      <c r="T43" s="1">
        <f>SUM(OSRRefT22_9x_0)</f>
        <v>0</v>
      </c>
      <c r="U43" s="1"/>
      <c r="V43" s="5">
        <f t="shared" si="29"/>
        <v>0</v>
      </c>
      <c r="W43" s="1"/>
      <c r="X43" s="1">
        <f t="shared" si="30"/>
        <v>100</v>
      </c>
      <c r="Y43" s="1"/>
      <c r="Z43" s="5">
        <f t="shared" si="31"/>
        <v>0</v>
      </c>
    </row>
    <row r="44" spans="1:26" s="24" customFormat="1" hidden="1" outlineLevel="2" x14ac:dyDescent="0.3">
      <c r="A44" s="27"/>
      <c r="B44" s="12" t="str">
        <f>CONCATENATE("          ", "6274", " - ", "UTILITIES")</f>
        <v xml:space="preserve">          6274 - UTILITIES</v>
      </c>
      <c r="C44" s="12"/>
      <c r="D44" s="8">
        <v>100</v>
      </c>
      <c r="E44" s="3"/>
      <c r="F44" s="7">
        <f t="shared" si="24"/>
        <v>0</v>
      </c>
      <c r="G44" s="3"/>
      <c r="H44" s="8"/>
      <c r="I44" s="3"/>
      <c r="J44" s="7">
        <f t="shared" si="25"/>
        <v>0</v>
      </c>
      <c r="K44" s="3"/>
      <c r="L44" s="8">
        <f t="shared" si="26"/>
        <v>100</v>
      </c>
      <c r="M44" s="3"/>
      <c r="N44" s="7">
        <f t="shared" si="27"/>
        <v>0</v>
      </c>
      <c r="O44" s="12"/>
      <c r="P44" s="8">
        <v>100</v>
      </c>
      <c r="Q44" s="3"/>
      <c r="R44" s="7">
        <f t="shared" si="28"/>
        <v>0</v>
      </c>
      <c r="S44" s="3"/>
      <c r="T44" s="8"/>
      <c r="U44" s="3"/>
      <c r="V44" s="7">
        <f t="shared" si="29"/>
        <v>0</v>
      </c>
      <c r="W44" s="3"/>
      <c r="X44" s="8">
        <f t="shared" si="30"/>
        <v>100</v>
      </c>
      <c r="Y44" s="3"/>
      <c r="Z44" s="7">
        <f t="shared" si="31"/>
        <v>0</v>
      </c>
    </row>
    <row r="45" spans="1:26" s="53" customFormat="1" x14ac:dyDescent="0.3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5" t="s">
        <v>292</v>
      </c>
      <c r="C46" s="10"/>
      <c r="D46" s="4">
        <f>SUM(0)</f>
        <v>0</v>
      </c>
      <c r="E46" s="4"/>
      <c r="F46" s="11">
        <f>IF(D$12=0,0,D46/D$12)</f>
        <v>0</v>
      </c>
      <c r="G46" s="4"/>
      <c r="H46" s="4">
        <f>SUM(0)</f>
        <v>0</v>
      </c>
      <c r="I46" s="4"/>
      <c r="J46" s="11">
        <f>IF(H$12=0,0,H46/H$12)</f>
        <v>0</v>
      </c>
      <c r="K46" s="4"/>
      <c r="L46" s="4">
        <f>+D46-H46</f>
        <v>0</v>
      </c>
      <c r="M46" s="4"/>
      <c r="N46" s="11">
        <f>IF(H46=0,0,L46/H46)</f>
        <v>0</v>
      </c>
      <c r="O46" s="10"/>
      <c r="P46" s="4">
        <f>SUM(0)</f>
        <v>0</v>
      </c>
      <c r="Q46" s="4"/>
      <c r="R46" s="11">
        <f>IF(P$12=0,0,P46/P$12)</f>
        <v>0</v>
      </c>
      <c r="S46" s="4"/>
      <c r="T46" s="4">
        <f>SUM(0)</f>
        <v>0</v>
      </c>
      <c r="U46" s="4"/>
      <c r="V46" s="11">
        <f>IF(T$12=0,0,T46/T$12)</f>
        <v>0</v>
      </c>
      <c r="W46" s="4"/>
      <c r="X46" s="4">
        <f>+P46-T46</f>
        <v>0</v>
      </c>
      <c r="Y46" s="4"/>
      <c r="Z46" s="11">
        <f>IF(T46=0,0,X46/T46)</f>
        <v>0</v>
      </c>
    </row>
    <row r="47" spans="1:26" x14ac:dyDescent="0.3">
      <c r="A47" s="9"/>
      <c r="B47" s="10"/>
      <c r="C47" s="10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10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x14ac:dyDescent="0.3">
      <c r="A48" s="10"/>
      <c r="B48" s="26" t="s">
        <v>276</v>
      </c>
      <c r="C48" s="26"/>
      <c r="D48" s="20">
        <f>+D17-D19+D46</f>
        <v>-10022.300000000001</v>
      </c>
      <c r="E48" s="13"/>
      <c r="F48" s="21">
        <f>IF(D$12=0,0,D48/D$12)</f>
        <v>0</v>
      </c>
      <c r="G48" s="13"/>
      <c r="H48" s="20">
        <f>+H17-H19+H46</f>
        <v>-14436.4</v>
      </c>
      <c r="I48" s="13"/>
      <c r="J48" s="21">
        <f>IF(H$12=0,0,H48/H$12)</f>
        <v>0</v>
      </c>
      <c r="K48" s="16"/>
      <c r="L48" s="20">
        <f>+D48-H48</f>
        <v>4414.0999999999985</v>
      </c>
      <c r="M48" s="16"/>
      <c r="N48" s="21">
        <f>IF(H48=0,0,L48/H48)</f>
        <v>-0.30576182427752063</v>
      </c>
      <c r="O48" s="25"/>
      <c r="P48" s="20">
        <f>+P17-P19+P46</f>
        <v>-10022.300000000001</v>
      </c>
      <c r="Q48" s="13"/>
      <c r="R48" s="21">
        <f>IF(P$12=0,0,P48/P$12)</f>
        <v>0</v>
      </c>
      <c r="S48" s="13"/>
      <c r="T48" s="20">
        <f>+T17-T19+T46</f>
        <v>-14436.4</v>
      </c>
      <c r="U48" s="13"/>
      <c r="V48" s="21">
        <f>IF(T$12=0,0,T48/T$12)</f>
        <v>0</v>
      </c>
      <c r="W48" s="16"/>
      <c r="X48" s="20">
        <f>+P48-T48</f>
        <v>4414.0999999999985</v>
      </c>
      <c r="Y48" s="16"/>
      <c r="Z48" s="21">
        <f>IF(T48=0,0,X48/T48)</f>
        <v>-0.30576182427752063</v>
      </c>
    </row>
    <row r="49" spans="1:26" x14ac:dyDescent="0.3">
      <c r="A49" s="9"/>
      <c r="B49" s="10"/>
      <c r="C49" s="9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3">
      <c r="A50" s="51"/>
      <c r="B50" s="10" t="s">
        <v>127</v>
      </c>
      <c r="C50" s="10"/>
      <c r="D50" s="4"/>
      <c r="E50" s="4"/>
      <c r="F50" s="11">
        <f>IF(D$12=0,0,D50/D$12)</f>
        <v>0</v>
      </c>
      <c r="G50" s="4"/>
      <c r="H50" s="4"/>
      <c r="I50" s="4"/>
      <c r="J50" s="11">
        <f>IF(H$12=0,0,H50/H$12)</f>
        <v>0</v>
      </c>
      <c r="K50" s="4"/>
      <c r="L50" s="4">
        <f>+D50-H50</f>
        <v>0</v>
      </c>
      <c r="M50" s="4"/>
      <c r="N50" s="11">
        <f>IF(H50=0,0,L50/H50)</f>
        <v>0</v>
      </c>
      <c r="O50" s="10"/>
      <c r="P50" s="4"/>
      <c r="Q50" s="4"/>
      <c r="R50" s="11">
        <f>IF(P$12=0,0,P50/P$12)</f>
        <v>0</v>
      </c>
      <c r="S50" s="4"/>
      <c r="T50" s="4"/>
      <c r="U50" s="4"/>
      <c r="V50" s="11">
        <f>IF(T$12=0,0,T50/T$12)</f>
        <v>0</v>
      </c>
      <c r="W50" s="4"/>
      <c r="X50" s="4">
        <f>+P50-T50</f>
        <v>0</v>
      </c>
      <c r="Y50" s="4"/>
      <c r="Z50" s="11">
        <f>IF(T50=0,0,X50/T50)</f>
        <v>0</v>
      </c>
    </row>
    <row r="51" spans="1:26" x14ac:dyDescent="0.3">
      <c r="A51" s="9"/>
      <c r="B51" s="10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10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ht="15" thickBot="1" x14ac:dyDescent="0.35">
      <c r="A52" s="10"/>
      <c r="B52" s="26" t="s">
        <v>125</v>
      </c>
      <c r="C52" s="26"/>
      <c r="D52" s="36">
        <f>+D48-D50</f>
        <v>-10022.300000000001</v>
      </c>
      <c r="E52" s="13"/>
      <c r="F52" s="34">
        <f>IF(D$12=0,0,D52/D$12)</f>
        <v>0</v>
      </c>
      <c r="G52" s="13"/>
      <c r="H52" s="36">
        <f>+H48-H50</f>
        <v>-14436.4</v>
      </c>
      <c r="I52" s="13"/>
      <c r="J52" s="34">
        <f>IF(H$12=0,0,H52/H$12)</f>
        <v>0</v>
      </c>
      <c r="K52" s="16"/>
      <c r="L52" s="36">
        <f>D52-H52</f>
        <v>4414.0999999999985</v>
      </c>
      <c r="M52" s="16"/>
      <c r="N52" s="34">
        <f>IF(H52=0,0,L52/H52)</f>
        <v>-0.30576182427752063</v>
      </c>
      <c r="O52" s="25"/>
      <c r="P52" s="36">
        <f>+P48-P50</f>
        <v>-10022.300000000001</v>
      </c>
      <c r="Q52" s="13"/>
      <c r="R52" s="34">
        <f>IF(P$12=0,0,P52/P$12)</f>
        <v>0</v>
      </c>
      <c r="S52" s="13"/>
      <c r="T52" s="36">
        <f>+T48-T50</f>
        <v>-14436.4</v>
      </c>
      <c r="U52" s="13"/>
      <c r="V52" s="34">
        <f>IF(T$12=0,0,T52/T$12)</f>
        <v>0</v>
      </c>
      <c r="W52" s="16"/>
      <c r="X52" s="36">
        <f>P52-T52</f>
        <v>4414.0999999999985</v>
      </c>
      <c r="Y52" s="16"/>
      <c r="Z52" s="34">
        <f>IF(T52=0,0,X52/T52)</f>
        <v>-0.30576182427752063</v>
      </c>
    </row>
    <row r="53" spans="1:26" ht="15" thickTop="1" x14ac:dyDescent="0.3">
      <c r="A53" s="9"/>
      <c r="B53" s="9"/>
      <c r="C53" s="9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x14ac:dyDescent="0.3">
      <c r="A54" s="9"/>
      <c r="B54" s="9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" thickBot="1" x14ac:dyDescent="0.35">
      <c r="A55" s="10"/>
      <c r="B55" s="26" t="s">
        <v>293</v>
      </c>
      <c r="C55" s="26"/>
      <c r="D55" s="31">
        <f>SUM(D52:D54)</f>
        <v>-10022.300000000001</v>
      </c>
      <c r="E55" s="13"/>
      <c r="F55" s="33">
        <f>IF(D$12=0,0,D55/D$12)</f>
        <v>0</v>
      </c>
      <c r="G55" s="13"/>
      <c r="H55" s="31">
        <f>SUM(H52:H54)</f>
        <v>-14436.4</v>
      </c>
      <c r="I55" s="13"/>
      <c r="J55" s="33">
        <f>IF(H$12=0,0,H55/H$12)</f>
        <v>0</v>
      </c>
      <c r="K55" s="16"/>
      <c r="L55" s="31">
        <f>+D55-H55</f>
        <v>4414.0999999999985</v>
      </c>
      <c r="M55" s="16"/>
      <c r="N55" s="33">
        <f>IF(H55=0,0,L55/H55)</f>
        <v>-0.30576182427752063</v>
      </c>
      <c r="O55" s="25"/>
      <c r="P55" s="31">
        <f>SUM(P52:P54)</f>
        <v>-10022.300000000001</v>
      </c>
      <c r="Q55" s="13"/>
      <c r="R55" s="33">
        <f>IF(P$12=0,0,P55/P$12)</f>
        <v>0</v>
      </c>
      <c r="S55" s="13"/>
      <c r="T55" s="31">
        <f>SUM(T52:T54)</f>
        <v>-14436.4</v>
      </c>
      <c r="U55" s="13"/>
      <c r="V55" s="33">
        <f>IF(T$12=0,0,T55/T$12)</f>
        <v>0</v>
      </c>
      <c r="W55" s="16"/>
      <c r="X55" s="31">
        <f>+P55-T55</f>
        <v>4414.0999999999985</v>
      </c>
      <c r="Y55" s="16"/>
      <c r="Z55" s="33">
        <f>IF(T55=0,0,X55/T55)</f>
        <v>-0.30576182427752063</v>
      </c>
    </row>
    <row r="56" spans="1:26" ht="15" thickTop="1" x14ac:dyDescent="0.3">
      <c r="A56" s="9"/>
      <c r="C56" s="9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3">
      <c r="A57" s="9"/>
      <c r="B57" s="59">
        <v>44462.666945868055</v>
      </c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3">
      <c r="A58" s="9"/>
      <c r="B58" s="57" t="s">
        <v>56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">
      <c r="A59" s="9"/>
      <c r="B59" s="61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R59" sqref="R59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42689.659999999996</v>
      </c>
      <c r="E12" s="4"/>
      <c r="F12" s="11"/>
      <c r="G12" s="4"/>
      <c r="H12" s="4">
        <f>SUM(OSRRefH13x_0)</f>
        <v>20302.829999999998</v>
      </c>
      <c r="I12" s="4"/>
      <c r="J12" s="11"/>
      <c r="K12" s="4"/>
      <c r="L12" s="4">
        <f t="shared" ref="L12:L17" si="0">+D12-H12</f>
        <v>22386.829999999998</v>
      </c>
      <c r="M12" s="4"/>
      <c r="N12" s="11">
        <f t="shared" ref="N12:N17" si="1">IF(H12=0,0,L12/H12)</f>
        <v>1.1026457887890506</v>
      </c>
      <c r="O12" s="10"/>
      <c r="P12" s="4">
        <f>SUM(OSRRefP13x_0)</f>
        <v>42689.659999999996</v>
      </c>
      <c r="Q12" s="4"/>
      <c r="R12" s="11"/>
      <c r="S12" s="4"/>
      <c r="T12" s="4">
        <f>SUM(OSRRefT13x_0)</f>
        <v>20302.829999999998</v>
      </c>
      <c r="U12" s="4"/>
      <c r="V12" s="11"/>
      <c r="W12" s="4"/>
      <c r="X12" s="4">
        <f t="shared" ref="X12:X17" si="2">+P12-T12</f>
        <v>22386.829999999998</v>
      </c>
      <c r="Y12" s="4"/>
      <c r="Z12" s="11">
        <f t="shared" ref="Z12:Z17" si="3">IF(T12=0,0,X12/T12)</f>
        <v>1.1026457887890506</v>
      </c>
    </row>
    <row r="13" spans="1:26" s="24" customFormat="1" hidden="1" outlineLevel="1" x14ac:dyDescent="0.3">
      <c r="A13" s="50"/>
      <c r="B13" s="12" t="str">
        <f>CONCATENATE("          ", "4051", " - ", "TAXABLE SALES-FOOD")</f>
        <v xml:space="preserve">          4051 - TAXABLE SALES-FOOD</v>
      </c>
      <c r="C13" s="12"/>
      <c r="D13" s="3">
        <f>--10630.93</f>
        <v>10630.93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10630.93</v>
      </c>
      <c r="M13" s="3"/>
      <c r="N13" s="22">
        <f t="shared" si="1"/>
        <v>0</v>
      </c>
      <c r="O13" s="12"/>
      <c r="P13" s="3">
        <f>--10630.93</f>
        <v>10630.93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10630.93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"4053", " - ", "TAXABLE SALES-FOOD")</f>
        <v xml:space="preserve">          4053 - TAXABLE SALES-FOOD</v>
      </c>
      <c r="C14" s="12"/>
      <c r="D14" s="3">
        <f>--106.64</f>
        <v>106.64</v>
      </c>
      <c r="E14" s="3"/>
      <c r="F14" s="22"/>
      <c r="G14" s="3"/>
      <c r="H14" s="3">
        <f>--199.89</f>
        <v>199.89</v>
      </c>
      <c r="I14" s="3"/>
      <c r="J14" s="22"/>
      <c r="K14" s="3"/>
      <c r="L14" s="3">
        <f t="shared" si="0"/>
        <v>-93.249999999999986</v>
      </c>
      <c r="M14" s="3"/>
      <c r="N14" s="22">
        <f t="shared" si="1"/>
        <v>-0.46650657861824002</v>
      </c>
      <c r="O14" s="12"/>
      <c r="P14" s="3">
        <f>--106.64</f>
        <v>106.64</v>
      </c>
      <c r="Q14" s="3"/>
      <c r="R14" s="22"/>
      <c r="S14" s="3"/>
      <c r="T14" s="3">
        <f>--199.89</f>
        <v>199.89</v>
      </c>
      <c r="U14" s="3"/>
      <c r="V14" s="22"/>
      <c r="W14" s="3"/>
      <c r="X14" s="3">
        <f t="shared" si="2"/>
        <v>-93.249999999999986</v>
      </c>
      <c r="Y14" s="3"/>
      <c r="Z14" s="22">
        <f t="shared" si="3"/>
        <v>-0.46650657861824002</v>
      </c>
    </row>
    <row r="15" spans="1:26" s="24" customFormat="1" hidden="1" outlineLevel="1" x14ac:dyDescent="0.3">
      <c r="A15" s="50"/>
      <c r="B15" s="12" t="str">
        <f>CONCATENATE("          ", "4058", " - ", "TAXABLE SALES-FOOD")</f>
        <v xml:space="preserve">          4058 - TAXABLE SALES-FOOD</v>
      </c>
      <c r="C15" s="12"/>
      <c r="D15" s="3">
        <f>0</f>
        <v>0</v>
      </c>
      <c r="E15" s="3"/>
      <c r="F15" s="22"/>
      <c r="G15" s="3"/>
      <c r="H15" s="3">
        <f>--974.91</f>
        <v>974.91</v>
      </c>
      <c r="I15" s="3"/>
      <c r="J15" s="22"/>
      <c r="K15" s="3"/>
      <c r="L15" s="3">
        <f t="shared" si="0"/>
        <v>-974.91</v>
      </c>
      <c r="M15" s="3"/>
      <c r="N15" s="22">
        <f t="shared" si="1"/>
        <v>-1</v>
      </c>
      <c r="O15" s="12"/>
      <c r="P15" s="3">
        <f>0</f>
        <v>0</v>
      </c>
      <c r="Q15" s="3"/>
      <c r="R15" s="22"/>
      <c r="S15" s="3"/>
      <c r="T15" s="3">
        <f>--974.91</f>
        <v>974.91</v>
      </c>
      <c r="U15" s="3"/>
      <c r="V15" s="22"/>
      <c r="W15" s="3"/>
      <c r="X15" s="3">
        <f t="shared" si="2"/>
        <v>-974.91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"4151", " - ", "NON-TAXABLE SALES-FOOD")</f>
        <v xml:space="preserve">          4151 - NON-TAXABLE SALES-FOOD</v>
      </c>
      <c r="C16" s="12"/>
      <c r="D16" s="3">
        <f>--28671.38</f>
        <v>28671.38</v>
      </c>
      <c r="E16" s="3"/>
      <c r="F16" s="22"/>
      <c r="G16" s="3"/>
      <c r="H16" s="3">
        <f>--1300</f>
        <v>1300</v>
      </c>
      <c r="I16" s="3"/>
      <c r="J16" s="22"/>
      <c r="K16" s="3"/>
      <c r="L16" s="3">
        <f t="shared" si="0"/>
        <v>27371.38</v>
      </c>
      <c r="M16" s="3"/>
      <c r="N16" s="22">
        <f t="shared" si="1"/>
        <v>21.054907692307694</v>
      </c>
      <c r="O16" s="12"/>
      <c r="P16" s="3">
        <f>--28671.38</f>
        <v>28671.38</v>
      </c>
      <c r="Q16" s="3"/>
      <c r="R16" s="22"/>
      <c r="S16" s="3"/>
      <c r="T16" s="3">
        <f>--1300</f>
        <v>1300</v>
      </c>
      <c r="U16" s="3"/>
      <c r="V16" s="22"/>
      <c r="W16" s="3"/>
      <c r="X16" s="3">
        <f t="shared" si="2"/>
        <v>27371.38</v>
      </c>
      <c r="Y16" s="3"/>
      <c r="Z16" s="22">
        <f t="shared" si="3"/>
        <v>21.054907692307694</v>
      </c>
    </row>
    <row r="17" spans="1:26" s="24" customFormat="1" hidden="1" outlineLevel="1" x14ac:dyDescent="0.3">
      <c r="A17" s="50"/>
      <c r="B17" s="12" t="str">
        <f>CONCATENATE("          ", "4153", " - ", "NON-TAXABLE SALES-FOOD")</f>
        <v xml:space="preserve">          4153 - NON-TAXABLE SALES-FOOD</v>
      </c>
      <c r="C17" s="12"/>
      <c r="D17" s="3">
        <f>--3280.71</f>
        <v>3280.71</v>
      </c>
      <c r="E17" s="3"/>
      <c r="F17" s="22"/>
      <c r="G17" s="3"/>
      <c r="H17" s="3">
        <f>--17828.03</f>
        <v>17828.03</v>
      </c>
      <c r="I17" s="3"/>
      <c r="J17" s="22"/>
      <c r="K17" s="3"/>
      <c r="L17" s="3">
        <f t="shared" si="0"/>
        <v>-14547.32</v>
      </c>
      <c r="M17" s="3"/>
      <c r="N17" s="22">
        <f t="shared" si="1"/>
        <v>-0.8159802288867587</v>
      </c>
      <c r="O17" s="12"/>
      <c r="P17" s="3">
        <f>--3280.71</f>
        <v>3280.71</v>
      </c>
      <c r="Q17" s="3"/>
      <c r="R17" s="22"/>
      <c r="S17" s="3"/>
      <c r="T17" s="3">
        <f>--17828.03</f>
        <v>17828.03</v>
      </c>
      <c r="U17" s="3"/>
      <c r="V17" s="22"/>
      <c r="W17" s="3"/>
      <c r="X17" s="3">
        <f t="shared" si="2"/>
        <v>-14547.32</v>
      </c>
      <c r="Y17" s="3"/>
      <c r="Z17" s="22">
        <f t="shared" si="3"/>
        <v>-0.8159802288867587</v>
      </c>
    </row>
    <row r="18" spans="1:26" x14ac:dyDescent="0.3">
      <c r="A18" s="9"/>
      <c r="B18" s="10"/>
      <c r="C18" s="9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23" customFormat="1" collapsed="1" x14ac:dyDescent="0.3">
      <c r="A19" s="10"/>
      <c r="B19" s="25" t="s">
        <v>256</v>
      </c>
      <c r="C19" s="10"/>
      <c r="D19" s="4">
        <f>SUM(OSRRefD16x_0)</f>
        <v>22188.22</v>
      </c>
      <c r="E19" s="4"/>
      <c r="F19" s="11">
        <f t="shared" ref="F19:F21" si="4">IF(D$12=0,0,D19/D$12)</f>
        <v>0.51975630632804293</v>
      </c>
      <c r="G19" s="4"/>
      <c r="H19" s="4">
        <f>SUM(OSRRefH16x_0)</f>
        <v>11689.62</v>
      </c>
      <c r="I19" s="4"/>
      <c r="J19" s="11">
        <f t="shared" ref="J19:J21" si="5">IF(H$12=0,0,H19/H$12)</f>
        <v>0.5757630832745978</v>
      </c>
      <c r="K19" s="4"/>
      <c r="L19" s="4">
        <f t="shared" ref="L19:L21" si="6">+D19-H19</f>
        <v>10498.6</v>
      </c>
      <c r="M19" s="4"/>
      <c r="N19" s="11">
        <f t="shared" ref="N19:N21" si="7">IF(H19=0,0,L19/H19)</f>
        <v>0.89811302677075899</v>
      </c>
      <c r="O19" s="10"/>
      <c r="P19" s="4">
        <f>SUM(OSRRefP16x_0)</f>
        <v>22188.22</v>
      </c>
      <c r="Q19" s="4"/>
      <c r="R19" s="11">
        <f t="shared" ref="R19:R21" si="8">IF(P$12=0,0,P19/P$12)</f>
        <v>0.51975630632804293</v>
      </c>
      <c r="S19" s="4"/>
      <c r="T19" s="4">
        <f>SUM(OSRRefT16x_0)</f>
        <v>11689.62</v>
      </c>
      <c r="U19" s="4"/>
      <c r="V19" s="11">
        <f t="shared" ref="V19:V21" si="9">IF(T$12=0,0,T19/T$12)</f>
        <v>0.5757630832745978</v>
      </c>
      <c r="W19" s="4"/>
      <c r="X19" s="4">
        <f t="shared" ref="X19:X21" si="10">+P19-T19</f>
        <v>10498.6</v>
      </c>
      <c r="Y19" s="4"/>
      <c r="Z19" s="11">
        <f t="shared" ref="Z19:Z21" si="11">IF(T19=0,0,X19/T19)</f>
        <v>0.89811302677075899</v>
      </c>
    </row>
    <row r="20" spans="1:26" s="24" customFormat="1" hidden="1" outlineLevel="1" x14ac:dyDescent="0.3">
      <c r="A20" s="50"/>
      <c r="B20" s="12" t="str">
        <f>CONCATENATE("          ", "5053", " - ", "PURCHASES @ COST-FOOD")</f>
        <v xml:space="preserve">          5053 - PURCHASES @ COST-FOOD</v>
      </c>
      <c r="C20" s="12"/>
      <c r="D20" s="3">
        <v>26193.22</v>
      </c>
      <c r="E20" s="3"/>
      <c r="F20" s="22">
        <f t="shared" si="4"/>
        <v>0.61357293546024971</v>
      </c>
      <c r="G20" s="3"/>
      <c r="H20" s="3">
        <v>8280.6200000000008</v>
      </c>
      <c r="I20" s="3"/>
      <c r="J20" s="22">
        <f t="shared" si="5"/>
        <v>0.40785545660383316</v>
      </c>
      <c r="K20" s="3"/>
      <c r="L20" s="3">
        <f t="shared" si="6"/>
        <v>17912.599999999999</v>
      </c>
      <c r="M20" s="3"/>
      <c r="N20" s="22">
        <f t="shared" si="7"/>
        <v>2.1631955095149875</v>
      </c>
      <c r="O20" s="12"/>
      <c r="P20" s="3">
        <v>26193.22</v>
      </c>
      <c r="Q20" s="3"/>
      <c r="R20" s="22">
        <f t="shared" si="8"/>
        <v>0.61357293546024971</v>
      </c>
      <c r="S20" s="3"/>
      <c r="T20" s="3">
        <v>8280.6200000000008</v>
      </c>
      <c r="U20" s="3"/>
      <c r="V20" s="22">
        <f t="shared" si="9"/>
        <v>0.40785545660383316</v>
      </c>
      <c r="W20" s="3"/>
      <c r="X20" s="3">
        <f t="shared" si="10"/>
        <v>17912.599999999999</v>
      </c>
      <c r="Y20" s="3"/>
      <c r="Z20" s="22">
        <f t="shared" si="11"/>
        <v>2.1631955095149875</v>
      </c>
    </row>
    <row r="21" spans="1:26" s="24" customFormat="1" hidden="1" outlineLevel="1" x14ac:dyDescent="0.3">
      <c r="A21" s="50"/>
      <c r="B21" s="12" t="str">
        <f>CONCATENATE("          ", "5059", " - ", "PURCHASES @ COST-FOOD")</f>
        <v xml:space="preserve">          5059 - PURCHASES @ COST-FOOD</v>
      </c>
      <c r="C21" s="12"/>
      <c r="D21" s="3">
        <v>-4005</v>
      </c>
      <c r="E21" s="3"/>
      <c r="F21" s="22">
        <f t="shared" si="4"/>
        <v>-9.381662913220673E-2</v>
      </c>
      <c r="G21" s="3"/>
      <c r="H21" s="3">
        <v>3409</v>
      </c>
      <c r="I21" s="3"/>
      <c r="J21" s="22">
        <f t="shared" si="5"/>
        <v>0.16790762667076464</v>
      </c>
      <c r="K21" s="3"/>
      <c r="L21" s="3">
        <f t="shared" si="6"/>
        <v>-7414</v>
      </c>
      <c r="M21" s="3"/>
      <c r="N21" s="22">
        <f t="shared" si="7"/>
        <v>-2.1748313288354355</v>
      </c>
      <c r="O21" s="12"/>
      <c r="P21" s="3">
        <v>-4005</v>
      </c>
      <c r="Q21" s="3"/>
      <c r="R21" s="22">
        <f t="shared" si="8"/>
        <v>-9.381662913220673E-2</v>
      </c>
      <c r="S21" s="3"/>
      <c r="T21" s="3">
        <v>3409</v>
      </c>
      <c r="U21" s="3"/>
      <c r="V21" s="22">
        <f t="shared" si="9"/>
        <v>0.16790762667076464</v>
      </c>
      <c r="W21" s="3"/>
      <c r="X21" s="3">
        <f t="shared" si="10"/>
        <v>-7414</v>
      </c>
      <c r="Y21" s="3"/>
      <c r="Z21" s="22">
        <f t="shared" si="11"/>
        <v>-2.1748313288354355</v>
      </c>
    </row>
    <row r="22" spans="1:26" x14ac:dyDescent="0.3">
      <c r="A22" s="9"/>
      <c r="B22" s="10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10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23" customFormat="1" x14ac:dyDescent="0.3">
      <c r="A23" s="10"/>
      <c r="B23" s="26" t="s">
        <v>107</v>
      </c>
      <c r="C23" s="26"/>
      <c r="D23" s="20">
        <f>D12-D19</f>
        <v>20501.439999999995</v>
      </c>
      <c r="E23" s="13"/>
      <c r="F23" s="21">
        <f>IF(D$12=0,0,D23/D$12)</f>
        <v>0.48024369367195702</v>
      </c>
      <c r="G23" s="13"/>
      <c r="H23" s="20">
        <f>H12-H19</f>
        <v>8613.2099999999973</v>
      </c>
      <c r="I23" s="13"/>
      <c r="J23" s="21">
        <f>IF(H$12=0,0,H23/H$12)</f>
        <v>0.4242369167254022</v>
      </c>
      <c r="K23" s="16"/>
      <c r="L23" s="20">
        <f>+D23-H23</f>
        <v>11888.229999999998</v>
      </c>
      <c r="M23" s="16"/>
      <c r="N23" s="21">
        <f>IF(H23=0,0,L23/H23)</f>
        <v>1.3802322246874279</v>
      </c>
      <c r="O23" s="25"/>
      <c r="P23" s="20">
        <f>P12-P19</f>
        <v>20501.439999999995</v>
      </c>
      <c r="Q23" s="13"/>
      <c r="R23" s="21">
        <f>IF(P$12=0,0,P23/P$12)</f>
        <v>0.48024369367195702</v>
      </c>
      <c r="S23" s="13"/>
      <c r="T23" s="20">
        <f>T12-T19</f>
        <v>8613.2099999999973</v>
      </c>
      <c r="U23" s="13"/>
      <c r="V23" s="21">
        <f>IF(T$12=0,0,T23/T$12)</f>
        <v>0.4242369167254022</v>
      </c>
      <c r="W23" s="16"/>
      <c r="X23" s="20">
        <f>+P23-T23</f>
        <v>11888.229999999998</v>
      </c>
      <c r="Y23" s="16"/>
      <c r="Z23" s="21">
        <f>IF(T23=0,0,X23/T23)</f>
        <v>1.3802322246874279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294</v>
      </c>
      <c r="C25" s="10"/>
      <c r="D25" s="19">
        <f>SUM(OSRRefD22x_0)</f>
        <v>340481.01999999996</v>
      </c>
      <c r="E25" s="19"/>
      <c r="F25" s="35">
        <f t="shared" ref="F25:F35" si="12">IF(D$12=0,0,D25/D$12)</f>
        <v>7.9757257378016124</v>
      </c>
      <c r="G25" s="19"/>
      <c r="H25" s="19">
        <f>SUM(OSRRefH22x_0)</f>
        <v>313095.14999999997</v>
      </c>
      <c r="I25" s="19"/>
      <c r="J25" s="35">
        <f t="shared" ref="J25:J35" si="13">IF(H$12=0,0,H25/H$12)</f>
        <v>15.421256544038442</v>
      </c>
      <c r="K25" s="4"/>
      <c r="L25" s="19">
        <f t="shared" ref="L25:L35" si="14">+D25-H25</f>
        <v>27385.869999999995</v>
      </c>
      <c r="M25" s="4"/>
      <c r="N25" s="35">
        <f t="shared" ref="N25:N35" si="15">IF(H25=0,0,L25/H25)</f>
        <v>8.7468202557593105E-2</v>
      </c>
      <c r="O25" s="10"/>
      <c r="P25" s="19">
        <f>SUM(OSRRefP22x_0)</f>
        <v>340481.01999999996</v>
      </c>
      <c r="Q25" s="19"/>
      <c r="R25" s="35">
        <f t="shared" ref="R25:R35" si="16">IF(P$12=0,0,P25/P$12)</f>
        <v>7.9757257378016124</v>
      </c>
      <c r="S25" s="19"/>
      <c r="T25" s="19">
        <f>SUM(OSRRefT22x_0)</f>
        <v>313095.14999999997</v>
      </c>
      <c r="U25" s="19"/>
      <c r="V25" s="35">
        <f t="shared" ref="V25:V35" si="17">IF(T$12=0,0,T25/T$12)</f>
        <v>15.421256544038442</v>
      </c>
      <c r="W25" s="4"/>
      <c r="X25" s="19">
        <f t="shared" ref="X25:X35" si="18">+P25-T25</f>
        <v>27385.869999999995</v>
      </c>
      <c r="Y25" s="4"/>
      <c r="Z25" s="35">
        <f t="shared" ref="Z25:Z35" si="19">IF(T25=0,0,X25/T25)</f>
        <v>8.7468202557593105E-2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93134.58</v>
      </c>
      <c r="E26" s="1"/>
      <c r="F26" s="5">
        <f t="shared" si="12"/>
        <v>2.1816660053043293</v>
      </c>
      <c r="G26" s="1"/>
      <c r="H26" s="1">
        <f>SUM(OSRRefH22_0x_0)</f>
        <v>97515.280000000013</v>
      </c>
      <c r="I26" s="1"/>
      <c r="J26" s="5">
        <f t="shared" si="13"/>
        <v>4.8030387881886432</v>
      </c>
      <c r="K26" s="1"/>
      <c r="L26" s="1">
        <f t="shared" si="14"/>
        <v>-4380.7000000000116</v>
      </c>
      <c r="M26" s="1"/>
      <c r="N26" s="5">
        <f t="shared" si="15"/>
        <v>-4.492321613597388E-2</v>
      </c>
      <c r="O26" s="14"/>
      <c r="P26" s="1">
        <f>SUM(OSRRefP22_0x_0)</f>
        <v>93134.58</v>
      </c>
      <c r="Q26" s="1"/>
      <c r="R26" s="5">
        <f t="shared" si="16"/>
        <v>2.1816660053043293</v>
      </c>
      <c r="S26" s="1"/>
      <c r="T26" s="1">
        <f>SUM(OSRRefT22_0x_0)</f>
        <v>97515.280000000013</v>
      </c>
      <c r="U26" s="1"/>
      <c r="V26" s="5">
        <f t="shared" si="17"/>
        <v>4.8030387881886432</v>
      </c>
      <c r="W26" s="1"/>
      <c r="X26" s="1">
        <f t="shared" si="18"/>
        <v>-4380.7000000000116</v>
      </c>
      <c r="Y26" s="1"/>
      <c r="Z26" s="5">
        <f t="shared" si="19"/>
        <v>-4.492321613597388E-2</v>
      </c>
    </row>
    <row r="27" spans="1:26" s="24" customFormat="1" hidden="1" outlineLevel="2" x14ac:dyDescent="0.3">
      <c r="A27" s="27"/>
      <c r="B27" s="12" t="str">
        <f>CONCATENATE("          ", "6111", " - ", "F.I.C.A.")</f>
        <v xml:space="preserve">          6111 - F.I.C.A.</v>
      </c>
      <c r="C27" s="12"/>
      <c r="D27" s="8">
        <v>9828.1299999999992</v>
      </c>
      <c r="E27" s="3"/>
      <c r="F27" s="7">
        <f t="shared" si="12"/>
        <v>0.230222728407769</v>
      </c>
      <c r="G27" s="3"/>
      <c r="H27" s="8">
        <v>9015.16</v>
      </c>
      <c r="I27" s="3"/>
      <c r="J27" s="7">
        <f t="shared" si="13"/>
        <v>0.44403464935676457</v>
      </c>
      <c r="K27" s="3"/>
      <c r="L27" s="8">
        <f t="shared" si="14"/>
        <v>812.96999999999935</v>
      </c>
      <c r="M27" s="3"/>
      <c r="N27" s="7">
        <f t="shared" si="15"/>
        <v>9.0178100000443628E-2</v>
      </c>
      <c r="O27" s="12"/>
      <c r="P27" s="8">
        <v>9828.1299999999992</v>
      </c>
      <c r="Q27" s="3"/>
      <c r="R27" s="7">
        <f t="shared" si="16"/>
        <v>0.230222728407769</v>
      </c>
      <c r="S27" s="3"/>
      <c r="T27" s="8">
        <v>9015.16</v>
      </c>
      <c r="U27" s="3"/>
      <c r="V27" s="7">
        <f t="shared" si="17"/>
        <v>0.44403464935676457</v>
      </c>
      <c r="W27" s="3"/>
      <c r="X27" s="8">
        <f t="shared" si="18"/>
        <v>812.96999999999935</v>
      </c>
      <c r="Y27" s="3"/>
      <c r="Z27" s="7">
        <f t="shared" si="19"/>
        <v>9.0178100000443628E-2</v>
      </c>
    </row>
    <row r="28" spans="1:26" s="24" customFormat="1" hidden="1" outlineLevel="2" x14ac:dyDescent="0.3">
      <c r="A28" s="27"/>
      <c r="B28" s="12" t="str">
        <f>CONCATENATE("          ", "6112", " - ", "COMPENSATION INSURANCE")</f>
        <v xml:space="preserve">          6112 - COMPENSATION INSURANCE</v>
      </c>
      <c r="C28" s="12"/>
      <c r="D28" s="8">
        <v>4219.59</v>
      </c>
      <c r="E28" s="3"/>
      <c r="F28" s="7">
        <f t="shared" si="12"/>
        <v>9.8843373313350358E-2</v>
      </c>
      <c r="G28" s="3"/>
      <c r="H28" s="8">
        <v>4140.1099999999997</v>
      </c>
      <c r="I28" s="3"/>
      <c r="J28" s="7">
        <f t="shared" si="13"/>
        <v>0.20391787745846268</v>
      </c>
      <c r="K28" s="3"/>
      <c r="L28" s="8">
        <f t="shared" si="14"/>
        <v>79.480000000000473</v>
      </c>
      <c r="M28" s="3"/>
      <c r="N28" s="7">
        <f t="shared" si="15"/>
        <v>1.919755755281876E-2</v>
      </c>
      <c r="O28" s="12"/>
      <c r="P28" s="8">
        <v>4219.59</v>
      </c>
      <c r="Q28" s="3"/>
      <c r="R28" s="7">
        <f t="shared" si="16"/>
        <v>9.8843373313350358E-2</v>
      </c>
      <c r="S28" s="3"/>
      <c r="T28" s="8">
        <v>4140.1099999999997</v>
      </c>
      <c r="U28" s="3"/>
      <c r="V28" s="7">
        <f t="shared" si="17"/>
        <v>0.20391787745846268</v>
      </c>
      <c r="W28" s="3"/>
      <c r="X28" s="8">
        <f t="shared" si="18"/>
        <v>79.480000000000473</v>
      </c>
      <c r="Y28" s="3"/>
      <c r="Z28" s="7">
        <f t="shared" si="19"/>
        <v>1.919755755281876E-2</v>
      </c>
    </row>
    <row r="29" spans="1:26" s="24" customFormat="1" hidden="1" outlineLevel="2" x14ac:dyDescent="0.3">
      <c r="A29" s="27"/>
      <c r="B29" s="12" t="str">
        <f>CONCATENATE("          ", "6113", " - ", "GROUP INSURANCE")</f>
        <v xml:space="preserve">          6113 - GROUP INSURANCE</v>
      </c>
      <c r="C29" s="12"/>
      <c r="D29" s="8">
        <v>52698.36</v>
      </c>
      <c r="E29" s="3"/>
      <c r="F29" s="7">
        <f t="shared" si="12"/>
        <v>1.2344525583010033</v>
      </c>
      <c r="G29" s="3"/>
      <c r="H29" s="8">
        <v>55309.61</v>
      </c>
      <c r="I29" s="3"/>
      <c r="J29" s="7">
        <f t="shared" si="13"/>
        <v>2.7242315480157204</v>
      </c>
      <c r="K29" s="3"/>
      <c r="L29" s="8">
        <f t="shared" si="14"/>
        <v>-2611.25</v>
      </c>
      <c r="M29" s="3"/>
      <c r="N29" s="7">
        <f t="shared" si="15"/>
        <v>-4.7211506282542941E-2</v>
      </c>
      <c r="O29" s="12"/>
      <c r="P29" s="8">
        <v>52698.36</v>
      </c>
      <c r="Q29" s="3"/>
      <c r="R29" s="7">
        <f t="shared" si="16"/>
        <v>1.2344525583010033</v>
      </c>
      <c r="S29" s="3"/>
      <c r="T29" s="8">
        <v>55309.61</v>
      </c>
      <c r="U29" s="3"/>
      <c r="V29" s="7">
        <f t="shared" si="17"/>
        <v>2.7242315480157204</v>
      </c>
      <c r="W29" s="3"/>
      <c r="X29" s="8">
        <f t="shared" si="18"/>
        <v>-2611.25</v>
      </c>
      <c r="Y29" s="3"/>
      <c r="Z29" s="7">
        <f t="shared" si="19"/>
        <v>-4.7211506282542941E-2</v>
      </c>
    </row>
    <row r="30" spans="1:26" s="24" customFormat="1" hidden="1" outlineLevel="2" x14ac:dyDescent="0.3">
      <c r="A30" s="27"/>
      <c r="B30" s="12" t="str">
        <f>CONCATENATE("          ", "6114", " - ", "STATE UNEMPLOYMENT INSURANCE")</f>
        <v xml:space="preserve">          6114 - STATE UNEMPLOYMENT INSURANCE</v>
      </c>
      <c r="C30" s="12"/>
      <c r="D30" s="8">
        <v>333.52</v>
      </c>
      <c r="E30" s="3"/>
      <c r="F30" s="7">
        <f t="shared" si="12"/>
        <v>7.8126647061606963E-3</v>
      </c>
      <c r="G30" s="3"/>
      <c r="H30" s="8">
        <v>374.57</v>
      </c>
      <c r="I30" s="3"/>
      <c r="J30" s="7">
        <f t="shared" si="13"/>
        <v>1.8449152162531037E-2</v>
      </c>
      <c r="K30" s="3"/>
      <c r="L30" s="8">
        <f t="shared" si="14"/>
        <v>-41.050000000000011</v>
      </c>
      <c r="M30" s="3"/>
      <c r="N30" s="7">
        <f t="shared" si="15"/>
        <v>-0.10959233254131408</v>
      </c>
      <c r="O30" s="12"/>
      <c r="P30" s="8">
        <v>333.52</v>
      </c>
      <c r="Q30" s="3"/>
      <c r="R30" s="7">
        <f t="shared" si="16"/>
        <v>7.8126647061606963E-3</v>
      </c>
      <c r="S30" s="3"/>
      <c r="T30" s="8">
        <v>374.57</v>
      </c>
      <c r="U30" s="3"/>
      <c r="V30" s="7">
        <f t="shared" si="17"/>
        <v>1.8449152162531037E-2</v>
      </c>
      <c r="W30" s="3"/>
      <c r="X30" s="8">
        <f t="shared" si="18"/>
        <v>-41.050000000000011</v>
      </c>
      <c r="Y30" s="3"/>
      <c r="Z30" s="7">
        <f t="shared" si="19"/>
        <v>-0.10959233254131408</v>
      </c>
    </row>
    <row r="31" spans="1:26" s="24" customFormat="1" hidden="1" outlineLevel="2" x14ac:dyDescent="0.3">
      <c r="A31" s="27"/>
      <c r="B31" s="12" t="str">
        <f>CONCATENATE("          ", "6115", " - ", "P.E.R.S.")</f>
        <v xml:space="preserve">          6115 - P.E.R.S.</v>
      </c>
      <c r="C31" s="12"/>
      <c r="D31" s="8">
        <v>6526.56</v>
      </c>
      <c r="E31" s="3"/>
      <c r="F31" s="7">
        <f t="shared" si="12"/>
        <v>0.15288385993235834</v>
      </c>
      <c r="G31" s="3"/>
      <c r="H31" s="8">
        <v>10026.56</v>
      </c>
      <c r="I31" s="3"/>
      <c r="J31" s="7">
        <f t="shared" si="13"/>
        <v>0.49385036470285182</v>
      </c>
      <c r="K31" s="3"/>
      <c r="L31" s="8">
        <f t="shared" si="14"/>
        <v>-3499.9999999999991</v>
      </c>
      <c r="M31" s="3"/>
      <c r="N31" s="7">
        <f t="shared" si="15"/>
        <v>-0.34907286247726033</v>
      </c>
      <c r="O31" s="12"/>
      <c r="P31" s="8">
        <v>6526.56</v>
      </c>
      <c r="Q31" s="3"/>
      <c r="R31" s="7">
        <f t="shared" si="16"/>
        <v>0.15288385993235834</v>
      </c>
      <c r="S31" s="3"/>
      <c r="T31" s="8">
        <v>10026.56</v>
      </c>
      <c r="U31" s="3"/>
      <c r="V31" s="7">
        <f t="shared" si="17"/>
        <v>0.49385036470285182</v>
      </c>
      <c r="W31" s="3"/>
      <c r="X31" s="8">
        <f t="shared" si="18"/>
        <v>-3499.9999999999991</v>
      </c>
      <c r="Y31" s="3"/>
      <c r="Z31" s="7">
        <f t="shared" si="19"/>
        <v>-0.34907286247726033</v>
      </c>
    </row>
    <row r="32" spans="1:26" s="24" customFormat="1" hidden="1" outlineLevel="2" x14ac:dyDescent="0.3">
      <c r="A32" s="27"/>
      <c r="B32" s="12" t="str">
        <f>CONCATENATE("          ", "6117", " - ", "RETIREMENT STAFF HOURLY")</f>
        <v xml:space="preserve">          6117 - RETIREMENT STAFF HOURLY</v>
      </c>
      <c r="C32" s="12"/>
      <c r="D32" s="8">
        <v>1281.6400000000001</v>
      </c>
      <c r="E32" s="3"/>
      <c r="F32" s="7">
        <f t="shared" si="12"/>
        <v>3.0022258317353667E-2</v>
      </c>
      <c r="G32" s="3"/>
      <c r="H32" s="8">
        <v>1969.14</v>
      </c>
      <c r="I32" s="3"/>
      <c r="J32" s="7">
        <f t="shared" si="13"/>
        <v>9.6988449393508216E-2</v>
      </c>
      <c r="K32" s="3"/>
      <c r="L32" s="8">
        <f t="shared" si="14"/>
        <v>-687.5</v>
      </c>
      <c r="M32" s="3"/>
      <c r="N32" s="7">
        <f t="shared" si="15"/>
        <v>-0.34913718679220368</v>
      </c>
      <c r="O32" s="12"/>
      <c r="P32" s="8">
        <v>1281.6400000000001</v>
      </c>
      <c r="Q32" s="3"/>
      <c r="R32" s="7">
        <f t="shared" si="16"/>
        <v>3.0022258317353667E-2</v>
      </c>
      <c r="S32" s="3"/>
      <c r="T32" s="8">
        <v>1969.14</v>
      </c>
      <c r="U32" s="3"/>
      <c r="V32" s="7">
        <f t="shared" si="17"/>
        <v>9.6988449393508216E-2</v>
      </c>
      <c r="W32" s="3"/>
      <c r="X32" s="8">
        <f t="shared" si="18"/>
        <v>-687.5</v>
      </c>
      <c r="Y32" s="3"/>
      <c r="Z32" s="7">
        <f t="shared" si="19"/>
        <v>-0.34913718679220368</v>
      </c>
    </row>
    <row r="33" spans="1:26" s="24" customFormat="1" hidden="1" outlineLevel="2" x14ac:dyDescent="0.3">
      <c r="A33" s="27"/>
      <c r="B33" s="12" t="str">
        <f>CONCATENATE("          ", "6118", " - ", "VACATION")</f>
        <v xml:space="preserve">          6118 - VACATION</v>
      </c>
      <c r="C33" s="12"/>
      <c r="D33" s="8">
        <v>8985.02</v>
      </c>
      <c r="E33" s="3"/>
      <c r="F33" s="7">
        <f t="shared" si="12"/>
        <v>0.21047298104505871</v>
      </c>
      <c r="G33" s="3"/>
      <c r="H33" s="8">
        <v>8012.45</v>
      </c>
      <c r="I33" s="3"/>
      <c r="J33" s="7">
        <f t="shared" si="13"/>
        <v>0.39464695315874687</v>
      </c>
      <c r="K33" s="3"/>
      <c r="L33" s="8">
        <f t="shared" si="14"/>
        <v>972.57000000000062</v>
      </c>
      <c r="M33" s="3"/>
      <c r="N33" s="7">
        <f t="shared" si="15"/>
        <v>0.12138234871980488</v>
      </c>
      <c r="O33" s="12"/>
      <c r="P33" s="8">
        <v>8985.02</v>
      </c>
      <c r="Q33" s="3"/>
      <c r="R33" s="7">
        <f t="shared" si="16"/>
        <v>0.21047298104505871</v>
      </c>
      <c r="S33" s="3"/>
      <c r="T33" s="8">
        <v>8012.45</v>
      </c>
      <c r="U33" s="3"/>
      <c r="V33" s="7">
        <f t="shared" si="17"/>
        <v>0.39464695315874687</v>
      </c>
      <c r="W33" s="3"/>
      <c r="X33" s="8">
        <f t="shared" si="18"/>
        <v>972.57000000000062</v>
      </c>
      <c r="Y33" s="3"/>
      <c r="Z33" s="7">
        <f t="shared" si="19"/>
        <v>0.12138234871980488</v>
      </c>
    </row>
    <row r="34" spans="1:26" s="24" customFormat="1" hidden="1" outlineLevel="2" x14ac:dyDescent="0.3">
      <c r="A34" s="27"/>
      <c r="B34" s="12" t="str">
        <f>CONCATENATE("          ", "6119", " - ", "SICK LEAVE")</f>
        <v xml:space="preserve">          6119 - SICK LEAVE</v>
      </c>
      <c r="C34" s="12"/>
      <c r="D34" s="8">
        <v>5847.59</v>
      </c>
      <c r="E34" s="3"/>
      <c r="F34" s="7">
        <f t="shared" si="12"/>
        <v>0.13697907174711629</v>
      </c>
      <c r="G34" s="3"/>
      <c r="H34" s="8">
        <v>5655.13</v>
      </c>
      <c r="I34" s="3"/>
      <c r="J34" s="7">
        <f t="shared" si="13"/>
        <v>0.27853900170567358</v>
      </c>
      <c r="K34" s="3"/>
      <c r="L34" s="8">
        <f t="shared" si="14"/>
        <v>192.46000000000004</v>
      </c>
      <c r="M34" s="3"/>
      <c r="N34" s="7">
        <f t="shared" si="15"/>
        <v>3.4032816221731425E-2</v>
      </c>
      <c r="O34" s="12"/>
      <c r="P34" s="8">
        <v>5847.59</v>
      </c>
      <c r="Q34" s="3"/>
      <c r="R34" s="7">
        <f t="shared" si="16"/>
        <v>0.13697907174711629</v>
      </c>
      <c r="S34" s="3"/>
      <c r="T34" s="8">
        <v>5655.13</v>
      </c>
      <c r="U34" s="3"/>
      <c r="V34" s="7">
        <f t="shared" si="17"/>
        <v>0.27853900170567358</v>
      </c>
      <c r="W34" s="3"/>
      <c r="X34" s="8">
        <f t="shared" si="18"/>
        <v>192.46000000000004</v>
      </c>
      <c r="Y34" s="3"/>
      <c r="Z34" s="7">
        <f t="shared" si="19"/>
        <v>3.4032816221731425E-2</v>
      </c>
    </row>
    <row r="35" spans="1:26" s="24" customFormat="1" hidden="1" outlineLevel="2" x14ac:dyDescent="0.3">
      <c r="A35" s="27"/>
      <c r="B35" s="12" t="str">
        <f>CONCATENATE("          ", "6156", " - ", "EMPLOYEE MEALS")</f>
        <v xml:space="preserve">          6156 - EMPLOYEE MEALS</v>
      </c>
      <c r="C35" s="12"/>
      <c r="D35" s="8">
        <v>3414.17</v>
      </c>
      <c r="E35" s="3"/>
      <c r="F35" s="7">
        <f t="shared" si="12"/>
        <v>7.9976509534158871E-2</v>
      </c>
      <c r="G35" s="3"/>
      <c r="H35" s="8">
        <v>3012.55</v>
      </c>
      <c r="I35" s="3"/>
      <c r="J35" s="7">
        <f t="shared" si="13"/>
        <v>0.14838079223438311</v>
      </c>
      <c r="K35" s="3"/>
      <c r="L35" s="8">
        <f t="shared" si="14"/>
        <v>401.61999999999989</v>
      </c>
      <c r="M35" s="3"/>
      <c r="N35" s="7">
        <f t="shared" si="15"/>
        <v>0.13331562961610591</v>
      </c>
      <c r="O35" s="12"/>
      <c r="P35" s="8">
        <v>3414.17</v>
      </c>
      <c r="Q35" s="3"/>
      <c r="R35" s="7">
        <f t="shared" si="16"/>
        <v>7.9976509534158871E-2</v>
      </c>
      <c r="S35" s="3"/>
      <c r="T35" s="8">
        <v>3012.55</v>
      </c>
      <c r="U35" s="3"/>
      <c r="V35" s="7">
        <f t="shared" si="17"/>
        <v>0.14838079223438311</v>
      </c>
      <c r="W35" s="3"/>
      <c r="X35" s="8">
        <f t="shared" si="18"/>
        <v>401.61999999999989</v>
      </c>
      <c r="Y35" s="3"/>
      <c r="Z35" s="7">
        <f t="shared" si="19"/>
        <v>0.13331562961610591</v>
      </c>
    </row>
    <row r="36" spans="1:26" s="29" customFormat="1" outlineLevel="1" collapsed="1" x14ac:dyDescent="0.3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152798.49</v>
      </c>
      <c r="E36" s="1"/>
      <c r="F36" s="5">
        <f t="shared" ref="F36:F41" si="20">IF(D$12=0,0,D36/D$12)</f>
        <v>3.5792857099353803</v>
      </c>
      <c r="G36" s="1"/>
      <c r="H36" s="1">
        <f>SUM(OSRRefH22_1x_0)</f>
        <v>123425.57999999999</v>
      </c>
      <c r="I36" s="1"/>
      <c r="J36" s="5">
        <f t="shared" ref="J36:J41" si="21">IF(H$12=0,0,H36/H$12)</f>
        <v>6.0792303338992646</v>
      </c>
      <c r="K36" s="1"/>
      <c r="L36" s="1">
        <f t="shared" ref="L36:L41" si="22">+D36-H36</f>
        <v>29372.910000000003</v>
      </c>
      <c r="M36" s="1"/>
      <c r="N36" s="5">
        <f t="shared" ref="N36:N41" si="23">IF(H36=0,0,L36/H36)</f>
        <v>0.23798073300526526</v>
      </c>
      <c r="O36" s="14"/>
      <c r="P36" s="1">
        <f>SUM(OSRRefP22_1x_0)</f>
        <v>152798.49</v>
      </c>
      <c r="Q36" s="1"/>
      <c r="R36" s="5">
        <f t="shared" ref="R36:R41" si="24">IF(P$12=0,0,P36/P$12)</f>
        <v>3.5792857099353803</v>
      </c>
      <c r="S36" s="1"/>
      <c r="T36" s="1">
        <f>SUM(OSRRefT22_1x_0)</f>
        <v>123425.57999999999</v>
      </c>
      <c r="U36" s="1"/>
      <c r="V36" s="5">
        <f t="shared" ref="V36:V41" si="25">IF(T$12=0,0,T36/T$12)</f>
        <v>6.0792303338992646</v>
      </c>
      <c r="W36" s="1"/>
      <c r="X36" s="1">
        <f t="shared" ref="X36:X41" si="26">+P36-T36</f>
        <v>29372.910000000003</v>
      </c>
      <c r="Y36" s="1"/>
      <c r="Z36" s="5">
        <f t="shared" ref="Z36:Z41" si="27">IF(T36=0,0,X36/T36)</f>
        <v>0.23798073300526526</v>
      </c>
    </row>
    <row r="37" spans="1:26" s="24" customFormat="1" hidden="1" outlineLevel="2" x14ac:dyDescent="0.3">
      <c r="A37" s="27"/>
      <c r="B37" s="12" t="str">
        <f>CONCATENATE("          ", "6001", " - ", "ADMINISTRATIVE SALARIES")</f>
        <v xml:space="preserve">          6001 - ADMINISTRATIVE SALARIES</v>
      </c>
      <c r="C37" s="12"/>
      <c r="D37" s="8">
        <v>25035.82</v>
      </c>
      <c r="E37" s="3"/>
      <c r="F37" s="7">
        <f t="shared" si="20"/>
        <v>0.5864609837604704</v>
      </c>
      <c r="G37" s="3"/>
      <c r="H37" s="8">
        <v>22406.87</v>
      </c>
      <c r="I37" s="3"/>
      <c r="J37" s="7">
        <f t="shared" si="21"/>
        <v>1.1036328433031257</v>
      </c>
      <c r="K37" s="3"/>
      <c r="L37" s="8">
        <f t="shared" si="22"/>
        <v>2628.9500000000007</v>
      </c>
      <c r="M37" s="3"/>
      <c r="N37" s="7">
        <f t="shared" si="23"/>
        <v>0.11732785525153673</v>
      </c>
      <c r="O37" s="12"/>
      <c r="P37" s="8">
        <v>25035.82</v>
      </c>
      <c r="Q37" s="3"/>
      <c r="R37" s="7">
        <f t="shared" si="24"/>
        <v>0.5864609837604704</v>
      </c>
      <c r="S37" s="3"/>
      <c r="T37" s="8">
        <v>22406.87</v>
      </c>
      <c r="U37" s="3"/>
      <c r="V37" s="7">
        <f t="shared" si="25"/>
        <v>1.1036328433031257</v>
      </c>
      <c r="W37" s="3"/>
      <c r="X37" s="8">
        <f t="shared" si="26"/>
        <v>2628.9500000000007</v>
      </c>
      <c r="Y37" s="3"/>
      <c r="Z37" s="7">
        <f t="shared" si="27"/>
        <v>0.11732785525153673</v>
      </c>
    </row>
    <row r="38" spans="1:26" s="24" customFormat="1" hidden="1" outlineLevel="2" x14ac:dyDescent="0.3">
      <c r="A38" s="27"/>
      <c r="B38" s="12" t="str">
        <f>CONCATENATE("          ", "6002", " - ", "STAFF SALARIES")</f>
        <v xml:space="preserve">          6002 - STAFF SALARIES</v>
      </c>
      <c r="C38" s="12"/>
      <c r="D38" s="8">
        <v>58847.46</v>
      </c>
      <c r="E38" s="3"/>
      <c r="F38" s="7">
        <f t="shared" si="20"/>
        <v>1.3784944644675081</v>
      </c>
      <c r="G38" s="3"/>
      <c r="H38" s="8">
        <v>55335.5</v>
      </c>
      <c r="I38" s="3"/>
      <c r="J38" s="7">
        <f t="shared" si="21"/>
        <v>2.7255067397008204</v>
      </c>
      <c r="K38" s="3"/>
      <c r="L38" s="8">
        <f t="shared" si="22"/>
        <v>3511.9599999999991</v>
      </c>
      <c r="M38" s="3"/>
      <c r="N38" s="7">
        <f t="shared" si="23"/>
        <v>6.3466671485755063E-2</v>
      </c>
      <c r="O38" s="12"/>
      <c r="P38" s="8">
        <v>58847.46</v>
      </c>
      <c r="Q38" s="3"/>
      <c r="R38" s="7">
        <f t="shared" si="24"/>
        <v>1.3784944644675081</v>
      </c>
      <c r="S38" s="3"/>
      <c r="T38" s="8">
        <v>55335.5</v>
      </c>
      <c r="U38" s="3"/>
      <c r="V38" s="7">
        <f t="shared" si="25"/>
        <v>2.7255067397008204</v>
      </c>
      <c r="W38" s="3"/>
      <c r="X38" s="8">
        <f t="shared" si="26"/>
        <v>3511.9599999999991</v>
      </c>
      <c r="Y38" s="3"/>
      <c r="Z38" s="7">
        <f t="shared" si="27"/>
        <v>6.3466671485755063E-2</v>
      </c>
    </row>
    <row r="39" spans="1:26" s="24" customFormat="1" hidden="1" outlineLevel="2" x14ac:dyDescent="0.3">
      <c r="A39" s="27"/>
      <c r="B39" s="12" t="str">
        <f>CONCATENATE("          ", "6004", " - ", "STAFF HOURLY")</f>
        <v xml:space="preserve">          6004 - STAFF HOURLY</v>
      </c>
      <c r="C39" s="12"/>
      <c r="D39" s="8">
        <v>46196.15</v>
      </c>
      <c r="E39" s="3"/>
      <c r="F39" s="7">
        <f t="shared" si="20"/>
        <v>1.0821390941038183</v>
      </c>
      <c r="G39" s="3"/>
      <c r="H39" s="8">
        <v>35932.21</v>
      </c>
      <c r="I39" s="3"/>
      <c r="J39" s="7">
        <f t="shared" si="21"/>
        <v>1.7698128783031726</v>
      </c>
      <c r="K39" s="3"/>
      <c r="L39" s="8">
        <f t="shared" si="22"/>
        <v>10263.940000000002</v>
      </c>
      <c r="M39" s="3"/>
      <c r="N39" s="7">
        <f t="shared" si="23"/>
        <v>0.28564733424412253</v>
      </c>
      <c r="O39" s="12"/>
      <c r="P39" s="8">
        <v>46196.15</v>
      </c>
      <c r="Q39" s="3"/>
      <c r="R39" s="7">
        <f t="shared" si="24"/>
        <v>1.0821390941038183</v>
      </c>
      <c r="S39" s="3"/>
      <c r="T39" s="8">
        <v>35932.21</v>
      </c>
      <c r="U39" s="3"/>
      <c r="V39" s="7">
        <f t="shared" si="25"/>
        <v>1.7698128783031726</v>
      </c>
      <c r="W39" s="3"/>
      <c r="X39" s="8">
        <f t="shared" si="26"/>
        <v>10263.940000000002</v>
      </c>
      <c r="Y39" s="3"/>
      <c r="Z39" s="7">
        <f t="shared" si="27"/>
        <v>0.28564733424412253</v>
      </c>
    </row>
    <row r="40" spans="1:26" s="24" customFormat="1" hidden="1" outlineLevel="2" x14ac:dyDescent="0.3">
      <c r="A40" s="27"/>
      <c r="B40" s="12" t="str">
        <f>CONCATENATE("          ", "6005", " - ", "TEMPORARY WAGES-HOURLY")</f>
        <v xml:space="preserve">          6005 - TEMPORARY WAGES-HOURLY</v>
      </c>
      <c r="C40" s="12"/>
      <c r="D40" s="8">
        <v>7979.27</v>
      </c>
      <c r="E40" s="3"/>
      <c r="F40" s="7">
        <f t="shared" si="20"/>
        <v>0.18691341181916185</v>
      </c>
      <c r="G40" s="3"/>
      <c r="H40" s="8"/>
      <c r="I40" s="3"/>
      <c r="J40" s="7">
        <f t="shared" si="21"/>
        <v>0</v>
      </c>
      <c r="K40" s="3"/>
      <c r="L40" s="8">
        <f t="shared" si="22"/>
        <v>7979.27</v>
      </c>
      <c r="M40" s="3"/>
      <c r="N40" s="7">
        <f t="shared" si="23"/>
        <v>0</v>
      </c>
      <c r="O40" s="12"/>
      <c r="P40" s="8">
        <v>7979.27</v>
      </c>
      <c r="Q40" s="3"/>
      <c r="R40" s="7">
        <f t="shared" si="24"/>
        <v>0.18691341181916185</v>
      </c>
      <c r="S40" s="3"/>
      <c r="T40" s="8"/>
      <c r="U40" s="3"/>
      <c r="V40" s="7">
        <f t="shared" si="25"/>
        <v>0</v>
      </c>
      <c r="W40" s="3"/>
      <c r="X40" s="8">
        <f t="shared" si="26"/>
        <v>7979.27</v>
      </c>
      <c r="Y40" s="3"/>
      <c r="Z40" s="7">
        <f t="shared" si="27"/>
        <v>0</v>
      </c>
    </row>
    <row r="41" spans="1:26" s="24" customFormat="1" hidden="1" outlineLevel="2" x14ac:dyDescent="0.3">
      <c r="A41" s="27"/>
      <c r="B41" s="12" t="str">
        <f>CONCATENATE("          ", "6007", " - ", "STUDENT HOURLY")</f>
        <v xml:space="preserve">          6007 - STUDENT HOURLY</v>
      </c>
      <c r="C41" s="12"/>
      <c r="D41" s="8">
        <v>14739.79</v>
      </c>
      <c r="E41" s="3"/>
      <c r="F41" s="7">
        <f t="shared" si="20"/>
        <v>0.34527775578442182</v>
      </c>
      <c r="G41" s="3"/>
      <c r="H41" s="8">
        <v>9751</v>
      </c>
      <c r="I41" s="3"/>
      <c r="J41" s="7">
        <f t="shared" si="21"/>
        <v>0.48027787259214605</v>
      </c>
      <c r="K41" s="3"/>
      <c r="L41" s="8">
        <f t="shared" si="22"/>
        <v>4988.7900000000009</v>
      </c>
      <c r="M41" s="3"/>
      <c r="N41" s="7">
        <f t="shared" si="23"/>
        <v>0.51161829555942984</v>
      </c>
      <c r="O41" s="12"/>
      <c r="P41" s="8">
        <v>14739.79</v>
      </c>
      <c r="Q41" s="3"/>
      <c r="R41" s="7">
        <f t="shared" si="24"/>
        <v>0.34527775578442182</v>
      </c>
      <c r="S41" s="3"/>
      <c r="T41" s="8">
        <v>9751</v>
      </c>
      <c r="U41" s="3"/>
      <c r="V41" s="7">
        <f t="shared" si="25"/>
        <v>0.48027787259214605</v>
      </c>
      <c r="W41" s="3"/>
      <c r="X41" s="8">
        <f t="shared" si="26"/>
        <v>4988.7900000000009</v>
      </c>
      <c r="Y41" s="3"/>
      <c r="Z41" s="7">
        <f t="shared" si="27"/>
        <v>0.51161829555942984</v>
      </c>
    </row>
    <row r="42" spans="1:26" s="29" customFormat="1" outlineLevel="1" collapsed="1" x14ac:dyDescent="0.3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545.73</v>
      </c>
      <c r="E42" s="1"/>
      <c r="F42" s="5">
        <f t="shared" ref="F42:F50" si="28">IF(D$12=0,0,D42/D$12)</f>
        <v>1.2783657681977324E-2</v>
      </c>
      <c r="G42" s="1"/>
      <c r="H42" s="1">
        <f>SUM(OSRRefH22_2x_0)</f>
        <v>770.46</v>
      </c>
      <c r="I42" s="1"/>
      <c r="J42" s="5">
        <f t="shared" ref="J42:J50" si="29">IF(H$12=0,0,H42/H$12)</f>
        <v>3.7948404237241808E-2</v>
      </c>
      <c r="K42" s="1"/>
      <c r="L42" s="1">
        <f t="shared" ref="L42:L50" si="30">+D42-H42</f>
        <v>-224.73000000000002</v>
      </c>
      <c r="M42" s="1"/>
      <c r="N42" s="5">
        <f t="shared" ref="N42:N50" si="31">IF(H42=0,0,L42/H42)</f>
        <v>-0.29168289074059656</v>
      </c>
      <c r="O42" s="14"/>
      <c r="P42" s="1">
        <f>SUM(OSRRefP22_2x_0)</f>
        <v>545.73</v>
      </c>
      <c r="Q42" s="1"/>
      <c r="R42" s="5">
        <f t="shared" ref="R42:R50" si="32">IF(P$12=0,0,P42/P$12)</f>
        <v>1.2783657681977324E-2</v>
      </c>
      <c r="S42" s="1"/>
      <c r="T42" s="1">
        <f>SUM(OSRRefT22_2x_0)</f>
        <v>770.46</v>
      </c>
      <c r="U42" s="1"/>
      <c r="V42" s="5">
        <f t="shared" ref="V42:V50" si="33">IF(T$12=0,0,T42/T$12)</f>
        <v>3.7948404237241808E-2</v>
      </c>
      <c r="W42" s="1"/>
      <c r="X42" s="1">
        <f t="shared" ref="X42:X50" si="34">+P42-T42</f>
        <v>-224.73000000000002</v>
      </c>
      <c r="Y42" s="1"/>
      <c r="Z42" s="5">
        <f t="shared" ref="Z42:Z50" si="35">IF(T42=0,0,X42/T42)</f>
        <v>-0.29168289074059656</v>
      </c>
    </row>
    <row r="43" spans="1:26" s="24" customFormat="1" hidden="1" outlineLevel="2" x14ac:dyDescent="0.3">
      <c r="A43" s="27"/>
      <c r="B43" s="12" t="str">
        <f>CONCATENATE("          ", "6362", " - ", "ADVERTISING EXPENSE")</f>
        <v xml:space="preserve">          6362 - ADVERTISING EXPENSE</v>
      </c>
      <c r="C43" s="12"/>
      <c r="D43" s="8">
        <v>545.73</v>
      </c>
      <c r="E43" s="3"/>
      <c r="F43" s="7">
        <f t="shared" si="28"/>
        <v>1.2783657681977324E-2</v>
      </c>
      <c r="G43" s="3"/>
      <c r="H43" s="8">
        <v>770.46</v>
      </c>
      <c r="I43" s="3"/>
      <c r="J43" s="7">
        <f t="shared" si="29"/>
        <v>3.7948404237241808E-2</v>
      </c>
      <c r="K43" s="3"/>
      <c r="L43" s="8">
        <f t="shared" si="30"/>
        <v>-224.73000000000002</v>
      </c>
      <c r="M43" s="3"/>
      <c r="N43" s="7">
        <f t="shared" si="31"/>
        <v>-0.29168289074059656</v>
      </c>
      <c r="O43" s="12"/>
      <c r="P43" s="8">
        <v>545.73</v>
      </c>
      <c r="Q43" s="3"/>
      <c r="R43" s="7">
        <f t="shared" si="32"/>
        <v>1.2783657681977324E-2</v>
      </c>
      <c r="S43" s="3"/>
      <c r="T43" s="8">
        <v>770.46</v>
      </c>
      <c r="U43" s="3"/>
      <c r="V43" s="7">
        <f t="shared" si="33"/>
        <v>3.7948404237241808E-2</v>
      </c>
      <c r="W43" s="3"/>
      <c r="X43" s="8">
        <f t="shared" si="34"/>
        <v>-224.73000000000002</v>
      </c>
      <c r="Y43" s="3"/>
      <c r="Z43" s="7">
        <f t="shared" si="35"/>
        <v>-0.29168289074059656</v>
      </c>
    </row>
    <row r="44" spans="1:26" s="29" customFormat="1" outlineLevel="1" collapsed="1" x14ac:dyDescent="0.3">
      <c r="A44" s="28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-19.02</v>
      </c>
      <c r="E44" s="1"/>
      <c r="F44" s="5">
        <f t="shared" si="28"/>
        <v>-4.4554114509227764E-4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-19.02</v>
      </c>
      <c r="M44" s="1"/>
      <c r="N44" s="5">
        <f t="shared" si="31"/>
        <v>0</v>
      </c>
      <c r="O44" s="14"/>
      <c r="P44" s="1">
        <f>SUM(OSRRefP22_3x_0)</f>
        <v>-19.02</v>
      </c>
      <c r="Q44" s="1"/>
      <c r="R44" s="5">
        <f t="shared" si="32"/>
        <v>-4.4554114509227764E-4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-19.02</v>
      </c>
      <c r="Y44" s="1"/>
      <c r="Z44" s="5">
        <f t="shared" si="35"/>
        <v>0</v>
      </c>
    </row>
    <row r="45" spans="1:26" s="24" customFormat="1" hidden="1" outlineLevel="2" x14ac:dyDescent="0.3">
      <c r="A45" s="27"/>
      <c r="B45" s="12" t="str">
        <f>CONCATENATE("          ", "6272", " - ", "CASH (OVER/SHORT)")</f>
        <v xml:space="preserve">          6272 - CASH (OVER/SHORT)</v>
      </c>
      <c r="C45" s="12"/>
      <c r="D45" s="8">
        <v>-19.02</v>
      </c>
      <c r="E45" s="3"/>
      <c r="F45" s="7">
        <f t="shared" si="28"/>
        <v>-4.4554114509227764E-4</v>
      </c>
      <c r="G45" s="3"/>
      <c r="H45" s="8">
        <v>0</v>
      </c>
      <c r="I45" s="3"/>
      <c r="J45" s="7">
        <f t="shared" si="29"/>
        <v>0</v>
      </c>
      <c r="K45" s="3"/>
      <c r="L45" s="8">
        <f t="shared" si="30"/>
        <v>-19.02</v>
      </c>
      <c r="M45" s="3"/>
      <c r="N45" s="7">
        <f t="shared" si="31"/>
        <v>0</v>
      </c>
      <c r="O45" s="12"/>
      <c r="P45" s="8">
        <v>-19.02</v>
      </c>
      <c r="Q45" s="3"/>
      <c r="R45" s="7">
        <f t="shared" si="32"/>
        <v>-4.4554114509227764E-4</v>
      </c>
      <c r="S45" s="3"/>
      <c r="T45" s="8">
        <v>0</v>
      </c>
      <c r="U45" s="3"/>
      <c r="V45" s="7">
        <f t="shared" si="33"/>
        <v>0</v>
      </c>
      <c r="W45" s="3"/>
      <c r="X45" s="8">
        <f t="shared" si="34"/>
        <v>-19.02</v>
      </c>
      <c r="Y45" s="3"/>
      <c r="Z45" s="7">
        <f t="shared" si="35"/>
        <v>0</v>
      </c>
    </row>
    <row r="46" spans="1:26" s="29" customFormat="1" outlineLevel="1" collapsed="1" x14ac:dyDescent="0.3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1010.3</v>
      </c>
      <c r="E46" s="1"/>
      <c r="F46" s="5">
        <f t="shared" si="28"/>
        <v>2.3666152412551423E-2</v>
      </c>
      <c r="G46" s="1"/>
      <c r="H46" s="1">
        <f>SUM(OSRRefH22_4x_0)</f>
        <v>282.82</v>
      </c>
      <c r="I46" s="1"/>
      <c r="J46" s="5">
        <f t="shared" si="29"/>
        <v>1.3930077728080274E-2</v>
      </c>
      <c r="K46" s="1"/>
      <c r="L46" s="1">
        <f t="shared" si="30"/>
        <v>727.48</v>
      </c>
      <c r="M46" s="1"/>
      <c r="N46" s="5">
        <f t="shared" si="31"/>
        <v>2.5722367583622092</v>
      </c>
      <c r="O46" s="14"/>
      <c r="P46" s="1">
        <f>SUM(OSRRefP22_4x_0)</f>
        <v>1010.3</v>
      </c>
      <c r="Q46" s="1"/>
      <c r="R46" s="5">
        <f t="shared" si="32"/>
        <v>2.3666152412551423E-2</v>
      </c>
      <c r="S46" s="1"/>
      <c r="T46" s="1">
        <f>SUM(OSRRefT22_4x_0)</f>
        <v>282.82</v>
      </c>
      <c r="U46" s="1"/>
      <c r="V46" s="5">
        <f t="shared" si="33"/>
        <v>1.3930077728080274E-2</v>
      </c>
      <c r="W46" s="1"/>
      <c r="X46" s="1">
        <f t="shared" si="34"/>
        <v>727.48</v>
      </c>
      <c r="Y46" s="1"/>
      <c r="Z46" s="5">
        <f t="shared" si="35"/>
        <v>2.5722367583622092</v>
      </c>
    </row>
    <row r="47" spans="1:26" s="24" customFormat="1" hidden="1" outlineLevel="2" x14ac:dyDescent="0.3">
      <c r="A47" s="27"/>
      <c r="B47" s="12" t="str">
        <f>CONCATENATE("          ", "6381", " - ", "BANK/CREDIT CARD FEES")</f>
        <v xml:space="preserve">          6381 - BANK/CREDIT CARD FEES</v>
      </c>
      <c r="C47" s="12"/>
      <c r="D47" s="8">
        <v>1010.3</v>
      </c>
      <c r="E47" s="3"/>
      <c r="F47" s="7">
        <f t="shared" si="28"/>
        <v>2.3666152412551423E-2</v>
      </c>
      <c r="G47" s="3"/>
      <c r="H47" s="8">
        <v>282.82</v>
      </c>
      <c r="I47" s="3"/>
      <c r="J47" s="7">
        <f t="shared" si="29"/>
        <v>1.3930077728080274E-2</v>
      </c>
      <c r="K47" s="3"/>
      <c r="L47" s="8">
        <f t="shared" si="30"/>
        <v>727.48</v>
      </c>
      <c r="M47" s="3"/>
      <c r="N47" s="7">
        <f t="shared" si="31"/>
        <v>2.5722367583622092</v>
      </c>
      <c r="O47" s="12"/>
      <c r="P47" s="8">
        <v>1010.3</v>
      </c>
      <c r="Q47" s="3"/>
      <c r="R47" s="7">
        <f t="shared" si="32"/>
        <v>2.3666152412551423E-2</v>
      </c>
      <c r="S47" s="3"/>
      <c r="T47" s="8">
        <v>282.82</v>
      </c>
      <c r="U47" s="3"/>
      <c r="V47" s="7">
        <f t="shared" si="33"/>
        <v>1.3930077728080274E-2</v>
      </c>
      <c r="W47" s="3"/>
      <c r="X47" s="8">
        <f t="shared" si="34"/>
        <v>727.48</v>
      </c>
      <c r="Y47" s="3"/>
      <c r="Z47" s="7">
        <f t="shared" si="35"/>
        <v>2.5722367583622092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33586.15</v>
      </c>
      <c r="E48" s="1"/>
      <c r="F48" s="5">
        <f t="shared" si="28"/>
        <v>0.78675140537544697</v>
      </c>
      <c r="G48" s="1"/>
      <c r="H48" s="1">
        <f>SUM(OSRRefH22_5x_0)</f>
        <v>37769.03</v>
      </c>
      <c r="I48" s="1"/>
      <c r="J48" s="5">
        <f t="shared" si="29"/>
        <v>1.8602840096676179</v>
      </c>
      <c r="K48" s="1"/>
      <c r="L48" s="1">
        <f t="shared" si="30"/>
        <v>-4182.8799999999974</v>
      </c>
      <c r="M48" s="1"/>
      <c r="N48" s="5">
        <f t="shared" si="31"/>
        <v>-0.11074893901167167</v>
      </c>
      <c r="O48" s="14"/>
      <c r="P48" s="1">
        <f>SUM(OSRRefP22_5x_0)</f>
        <v>33586.15</v>
      </c>
      <c r="Q48" s="1"/>
      <c r="R48" s="5">
        <f t="shared" si="32"/>
        <v>0.78675140537544697</v>
      </c>
      <c r="S48" s="1"/>
      <c r="T48" s="1">
        <f>SUM(OSRRefT22_5x_0)</f>
        <v>37769.03</v>
      </c>
      <c r="U48" s="1"/>
      <c r="V48" s="5">
        <f t="shared" si="33"/>
        <v>1.8602840096676179</v>
      </c>
      <c r="W48" s="1"/>
      <c r="X48" s="1">
        <f t="shared" si="34"/>
        <v>-4182.8799999999974</v>
      </c>
      <c r="Y48" s="1"/>
      <c r="Z48" s="5">
        <f t="shared" si="35"/>
        <v>-0.11074893901167167</v>
      </c>
    </row>
    <row r="49" spans="1:26" s="24" customFormat="1" hidden="1" outlineLevel="2" x14ac:dyDescent="0.3">
      <c r="A49" s="27"/>
      <c r="B49" s="12" t="str">
        <f>CONCATENATE("          ", "6321", " - ", "BUILDING DEPRECIATION")</f>
        <v xml:space="preserve">          6321 - BUILDING DEPRECIATION</v>
      </c>
      <c r="C49" s="12"/>
      <c r="D49" s="8">
        <v>23583.47</v>
      </c>
      <c r="E49" s="3"/>
      <c r="F49" s="7">
        <f t="shared" si="28"/>
        <v>0.55243986482909457</v>
      </c>
      <c r="G49" s="3"/>
      <c r="H49" s="8">
        <v>23844.89</v>
      </c>
      <c r="I49" s="3"/>
      <c r="J49" s="7">
        <f t="shared" si="29"/>
        <v>1.1744613928206069</v>
      </c>
      <c r="K49" s="3"/>
      <c r="L49" s="8">
        <f t="shared" si="30"/>
        <v>-261.41999999999825</v>
      </c>
      <c r="M49" s="3"/>
      <c r="N49" s="7">
        <f t="shared" si="31"/>
        <v>-1.0963355251376638E-2</v>
      </c>
      <c r="O49" s="12"/>
      <c r="P49" s="8">
        <v>23583.47</v>
      </c>
      <c r="Q49" s="3"/>
      <c r="R49" s="7">
        <f t="shared" si="32"/>
        <v>0.55243986482909457</v>
      </c>
      <c r="S49" s="3"/>
      <c r="T49" s="8">
        <v>23844.89</v>
      </c>
      <c r="U49" s="3"/>
      <c r="V49" s="7">
        <f t="shared" si="33"/>
        <v>1.1744613928206069</v>
      </c>
      <c r="W49" s="3"/>
      <c r="X49" s="8">
        <f t="shared" si="34"/>
        <v>-261.41999999999825</v>
      </c>
      <c r="Y49" s="3"/>
      <c r="Z49" s="7">
        <f t="shared" si="35"/>
        <v>-1.0963355251376638E-2</v>
      </c>
    </row>
    <row r="50" spans="1:26" s="24" customFormat="1" hidden="1" outlineLevel="2" x14ac:dyDescent="0.3">
      <c r="A50" s="27"/>
      <c r="B50" s="12" t="str">
        <f>CONCATENATE("          ", "6322", " - ", "EQUIPMENT DEPRECIATION EXPENSE")</f>
        <v xml:space="preserve">          6322 - EQUIPMENT DEPRECIATION EXPENSE</v>
      </c>
      <c r="C50" s="12"/>
      <c r="D50" s="8">
        <v>10002.68</v>
      </c>
      <c r="E50" s="3"/>
      <c r="F50" s="7">
        <f t="shared" si="28"/>
        <v>0.23431154054635248</v>
      </c>
      <c r="G50" s="3"/>
      <c r="H50" s="8">
        <v>13924.14</v>
      </c>
      <c r="I50" s="3"/>
      <c r="J50" s="7">
        <f t="shared" si="29"/>
        <v>0.68582261684701107</v>
      </c>
      <c r="K50" s="3"/>
      <c r="L50" s="8">
        <f t="shared" si="30"/>
        <v>-3921.4599999999991</v>
      </c>
      <c r="M50" s="3"/>
      <c r="N50" s="7">
        <f t="shared" si="31"/>
        <v>-0.28163031971812974</v>
      </c>
      <c r="O50" s="12"/>
      <c r="P50" s="8">
        <v>10002.68</v>
      </c>
      <c r="Q50" s="3"/>
      <c r="R50" s="7">
        <f t="shared" si="32"/>
        <v>0.23431154054635248</v>
      </c>
      <c r="S50" s="3"/>
      <c r="T50" s="8">
        <v>13924.14</v>
      </c>
      <c r="U50" s="3"/>
      <c r="V50" s="7">
        <f t="shared" si="33"/>
        <v>0.68582261684701107</v>
      </c>
      <c r="W50" s="3"/>
      <c r="X50" s="8">
        <f t="shared" si="34"/>
        <v>-3921.4599999999991</v>
      </c>
      <c r="Y50" s="3"/>
      <c r="Z50" s="7">
        <f t="shared" si="35"/>
        <v>-0.28163031971812974</v>
      </c>
    </row>
    <row r="51" spans="1:26" s="29" customFormat="1" outlineLevel="1" collapsed="1" x14ac:dyDescent="0.3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1325.46</v>
      </c>
      <c r="E51" s="1"/>
      <c r="F51" s="5">
        <f t="shared" ref="F51:F66" si="36">IF(D$12=0,0,D51/D$12)</f>
        <v>3.1048736391903805E-2</v>
      </c>
      <c r="G51" s="1"/>
      <c r="H51" s="1">
        <f>SUM(OSRRefH22_6x_0)</f>
        <v>1250.5</v>
      </c>
      <c r="I51" s="1"/>
      <c r="J51" s="5">
        <f t="shared" ref="J51:J66" si="37">IF(H$12=0,0,H51/H$12)</f>
        <v>6.1592398695157279E-2</v>
      </c>
      <c r="K51" s="1"/>
      <c r="L51" s="1">
        <f t="shared" ref="L51:L66" si="38">+D51-H51</f>
        <v>74.960000000000036</v>
      </c>
      <c r="M51" s="1"/>
      <c r="N51" s="5">
        <f t="shared" ref="N51:N66" si="39">IF(H51=0,0,L51/H51)</f>
        <v>5.9944022391043614E-2</v>
      </c>
      <c r="O51" s="14"/>
      <c r="P51" s="1">
        <f>SUM(OSRRefP22_6x_0)</f>
        <v>1325.46</v>
      </c>
      <c r="Q51" s="1"/>
      <c r="R51" s="5">
        <f t="shared" ref="R51:R66" si="40">IF(P$12=0,0,P51/P$12)</f>
        <v>3.1048736391903805E-2</v>
      </c>
      <c r="S51" s="1"/>
      <c r="T51" s="1">
        <f>SUM(OSRRefT22_6x_0)</f>
        <v>1250.5</v>
      </c>
      <c r="U51" s="1"/>
      <c r="V51" s="5">
        <f t="shared" ref="V51:V66" si="41">IF(T$12=0,0,T51/T$12)</f>
        <v>6.1592398695157279E-2</v>
      </c>
      <c r="W51" s="1"/>
      <c r="X51" s="1">
        <f t="shared" ref="X51:X66" si="42">+P51-T51</f>
        <v>74.960000000000036</v>
      </c>
      <c r="Y51" s="1"/>
      <c r="Z51" s="5">
        <f t="shared" ref="Z51:Z66" si="43">IF(T51=0,0,X51/T51)</f>
        <v>5.9944022391043614E-2</v>
      </c>
    </row>
    <row r="52" spans="1:26" s="24" customFormat="1" hidden="1" outlineLevel="2" x14ac:dyDescent="0.3">
      <c r="A52" s="27"/>
      <c r="B52" s="12" t="str">
        <f>CONCATENATE("          ", "6351", " - ", "EQUIPMENT RENTAL")</f>
        <v xml:space="preserve">          6351 - EQUIPMENT RENTAL</v>
      </c>
      <c r="C52" s="12"/>
      <c r="D52" s="8">
        <v>1325.46</v>
      </c>
      <c r="E52" s="3"/>
      <c r="F52" s="7">
        <f t="shared" si="36"/>
        <v>3.1048736391903805E-2</v>
      </c>
      <c r="G52" s="3"/>
      <c r="H52" s="8">
        <v>1250.5</v>
      </c>
      <c r="I52" s="3"/>
      <c r="J52" s="7">
        <f t="shared" si="37"/>
        <v>6.1592398695157279E-2</v>
      </c>
      <c r="K52" s="3"/>
      <c r="L52" s="8">
        <f t="shared" si="38"/>
        <v>74.960000000000036</v>
      </c>
      <c r="M52" s="3"/>
      <c r="N52" s="7">
        <f t="shared" si="39"/>
        <v>5.9944022391043614E-2</v>
      </c>
      <c r="O52" s="12"/>
      <c r="P52" s="8">
        <v>1325.46</v>
      </c>
      <c r="Q52" s="3"/>
      <c r="R52" s="7">
        <f t="shared" si="40"/>
        <v>3.1048736391903805E-2</v>
      </c>
      <c r="S52" s="3"/>
      <c r="T52" s="8">
        <v>1250.5</v>
      </c>
      <c r="U52" s="3"/>
      <c r="V52" s="7">
        <f t="shared" si="41"/>
        <v>6.1592398695157279E-2</v>
      </c>
      <c r="W52" s="3"/>
      <c r="X52" s="8">
        <f t="shared" si="42"/>
        <v>74.960000000000036</v>
      </c>
      <c r="Y52" s="3"/>
      <c r="Z52" s="7">
        <f t="shared" si="43"/>
        <v>5.9944022391043614E-2</v>
      </c>
    </row>
    <row r="53" spans="1:26" s="29" customFormat="1" outlineLevel="1" collapsed="1" x14ac:dyDescent="0.3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493.73</v>
      </c>
      <c r="E53" s="1"/>
      <c r="F53" s="5">
        <f t="shared" si="36"/>
        <v>1.1565564120210843E-2</v>
      </c>
      <c r="G53" s="1"/>
      <c r="H53" s="1">
        <f>SUM(OSRRefH22_7x_0)</f>
        <v>10621.85</v>
      </c>
      <c r="I53" s="1"/>
      <c r="J53" s="5">
        <f t="shared" si="37"/>
        <v>0.52317090770104469</v>
      </c>
      <c r="K53" s="1"/>
      <c r="L53" s="1">
        <f t="shared" si="38"/>
        <v>-10128.120000000001</v>
      </c>
      <c r="M53" s="1"/>
      <c r="N53" s="5">
        <f t="shared" si="39"/>
        <v>-0.95351751342751034</v>
      </c>
      <c r="O53" s="14"/>
      <c r="P53" s="1">
        <f>SUM(OSRRefP22_7x_0)</f>
        <v>493.73</v>
      </c>
      <c r="Q53" s="1"/>
      <c r="R53" s="5">
        <f t="shared" si="40"/>
        <v>1.1565564120210843E-2</v>
      </c>
      <c r="S53" s="1"/>
      <c r="T53" s="1">
        <f>SUM(OSRRefT22_7x_0)</f>
        <v>10621.85</v>
      </c>
      <c r="U53" s="1"/>
      <c r="V53" s="5">
        <f t="shared" si="41"/>
        <v>0.52317090770104469</v>
      </c>
      <c r="W53" s="1"/>
      <c r="X53" s="1">
        <f t="shared" si="42"/>
        <v>-10128.120000000001</v>
      </c>
      <c r="Y53" s="1"/>
      <c r="Z53" s="5">
        <f t="shared" si="43"/>
        <v>-0.95351751342751034</v>
      </c>
    </row>
    <row r="54" spans="1:26" s="24" customFormat="1" hidden="1" outlineLevel="2" x14ac:dyDescent="0.3">
      <c r="A54" s="27"/>
      <c r="B54" s="12" t="str">
        <f>CONCATENATE("          ", "6279", " - ", "GENERAL EXPENSE")</f>
        <v xml:space="preserve">          6279 - GENERAL EXPENSE</v>
      </c>
      <c r="C54" s="12"/>
      <c r="D54" s="8">
        <v>493.73</v>
      </c>
      <c r="E54" s="3"/>
      <c r="F54" s="7">
        <f t="shared" si="36"/>
        <v>1.1565564120210843E-2</v>
      </c>
      <c r="G54" s="3"/>
      <c r="H54" s="8">
        <v>10621.85</v>
      </c>
      <c r="I54" s="3"/>
      <c r="J54" s="7">
        <f t="shared" si="37"/>
        <v>0.52317090770104469</v>
      </c>
      <c r="K54" s="3"/>
      <c r="L54" s="8">
        <f t="shared" si="38"/>
        <v>-10128.120000000001</v>
      </c>
      <c r="M54" s="3"/>
      <c r="N54" s="7">
        <f t="shared" si="39"/>
        <v>-0.95351751342751034</v>
      </c>
      <c r="O54" s="12"/>
      <c r="P54" s="8">
        <v>493.73</v>
      </c>
      <c r="Q54" s="3"/>
      <c r="R54" s="7">
        <f t="shared" si="40"/>
        <v>1.1565564120210843E-2</v>
      </c>
      <c r="S54" s="3"/>
      <c r="T54" s="8">
        <v>10621.85</v>
      </c>
      <c r="U54" s="3"/>
      <c r="V54" s="7">
        <f t="shared" si="41"/>
        <v>0.52317090770104469</v>
      </c>
      <c r="W54" s="3"/>
      <c r="X54" s="8">
        <f t="shared" si="42"/>
        <v>-10128.120000000001</v>
      </c>
      <c r="Y54" s="3"/>
      <c r="Z54" s="7">
        <f t="shared" si="43"/>
        <v>-0.95351751342751034</v>
      </c>
    </row>
    <row r="55" spans="1:26" s="29" customFormat="1" outlineLevel="1" collapsed="1" x14ac:dyDescent="0.3">
      <c r="A55" s="28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SUM(OSRRefD22_8x_0)</f>
        <v>5761.43</v>
      </c>
      <c r="E55" s="1"/>
      <c r="F55" s="5">
        <f t="shared" si="36"/>
        <v>0.13496078441477399</v>
      </c>
      <c r="G55" s="1"/>
      <c r="H55" s="1">
        <f>SUM(OSRRefH22_8x_0)</f>
        <v>4246.03</v>
      </c>
      <c r="I55" s="1"/>
      <c r="J55" s="5">
        <f t="shared" si="37"/>
        <v>0.20913488415161827</v>
      </c>
      <c r="K55" s="1"/>
      <c r="L55" s="1">
        <f t="shared" si="38"/>
        <v>1515.4000000000005</v>
      </c>
      <c r="M55" s="1"/>
      <c r="N55" s="5">
        <f t="shared" si="39"/>
        <v>0.35689809068706546</v>
      </c>
      <c r="O55" s="14"/>
      <c r="P55" s="1">
        <f>SUM(OSRRefP22_8x_0)</f>
        <v>5761.43</v>
      </c>
      <c r="Q55" s="1"/>
      <c r="R55" s="5">
        <f t="shared" si="40"/>
        <v>0.13496078441477399</v>
      </c>
      <c r="S55" s="1"/>
      <c r="T55" s="1">
        <f>SUM(OSRRefT22_8x_0)</f>
        <v>4246.03</v>
      </c>
      <c r="U55" s="1"/>
      <c r="V55" s="5">
        <f t="shared" si="41"/>
        <v>0.20913488415161827</v>
      </c>
      <c r="W55" s="1"/>
      <c r="X55" s="1">
        <f t="shared" si="42"/>
        <v>1515.4000000000005</v>
      </c>
      <c r="Y55" s="1"/>
      <c r="Z55" s="5">
        <f t="shared" si="43"/>
        <v>0.35689809068706546</v>
      </c>
    </row>
    <row r="56" spans="1:26" s="24" customFormat="1" hidden="1" outlineLevel="2" x14ac:dyDescent="0.3">
      <c r="A56" s="27"/>
      <c r="B56" s="12" t="str">
        <f>CONCATENATE("          ", "6314", " - ", "LIABILITY INSURANCE")</f>
        <v xml:space="preserve">          6314 - LIABILITY INSURANCE</v>
      </c>
      <c r="C56" s="12"/>
      <c r="D56" s="8">
        <v>5761.43</v>
      </c>
      <c r="E56" s="3"/>
      <c r="F56" s="7">
        <f t="shared" si="36"/>
        <v>0.13496078441477399</v>
      </c>
      <c r="G56" s="3"/>
      <c r="H56" s="8">
        <v>4246.03</v>
      </c>
      <c r="I56" s="3"/>
      <c r="J56" s="7">
        <f t="shared" si="37"/>
        <v>0.20913488415161827</v>
      </c>
      <c r="K56" s="3"/>
      <c r="L56" s="8">
        <f t="shared" si="38"/>
        <v>1515.4000000000005</v>
      </c>
      <c r="M56" s="3"/>
      <c r="N56" s="7">
        <f t="shared" si="39"/>
        <v>0.35689809068706546</v>
      </c>
      <c r="O56" s="12"/>
      <c r="P56" s="8">
        <v>5761.43</v>
      </c>
      <c r="Q56" s="3"/>
      <c r="R56" s="7">
        <f t="shared" si="40"/>
        <v>0.13496078441477399</v>
      </c>
      <c r="S56" s="3"/>
      <c r="T56" s="8">
        <v>4246.03</v>
      </c>
      <c r="U56" s="3"/>
      <c r="V56" s="7">
        <f t="shared" si="41"/>
        <v>0.20913488415161827</v>
      </c>
      <c r="W56" s="3"/>
      <c r="X56" s="8">
        <f t="shared" si="42"/>
        <v>1515.4000000000005</v>
      </c>
      <c r="Y56" s="3"/>
      <c r="Z56" s="7">
        <f t="shared" si="43"/>
        <v>0.35689809068706546</v>
      </c>
    </row>
    <row r="57" spans="1:26" s="29" customFormat="1" outlineLevel="1" collapsed="1" x14ac:dyDescent="0.3">
      <c r="A57" s="28"/>
      <c r="B57" s="14" t="str">
        <f>CONCATENATE("     ","Interest                                          ")</f>
        <v xml:space="preserve">     Interest                                          </v>
      </c>
      <c r="C57" s="14"/>
      <c r="D57" s="1">
        <f>SUM(OSRRefD22_9x_0)</f>
        <v>7253</v>
      </c>
      <c r="E57" s="1"/>
      <c r="F57" s="5">
        <f t="shared" si="36"/>
        <v>0.16990062699023606</v>
      </c>
      <c r="G57" s="1"/>
      <c r="H57" s="1">
        <f>SUM(OSRRefH22_9x_0)</f>
        <v>7510</v>
      </c>
      <c r="I57" s="1"/>
      <c r="J57" s="5">
        <f t="shared" si="37"/>
        <v>0.36989917169182823</v>
      </c>
      <c r="K57" s="1"/>
      <c r="L57" s="1">
        <f t="shared" si="38"/>
        <v>-257</v>
      </c>
      <c r="M57" s="1"/>
      <c r="N57" s="5">
        <f t="shared" si="39"/>
        <v>-3.4221038615179764E-2</v>
      </c>
      <c r="O57" s="14"/>
      <c r="P57" s="1">
        <f>SUM(OSRRefP22_9x_0)</f>
        <v>7253</v>
      </c>
      <c r="Q57" s="1"/>
      <c r="R57" s="5">
        <f t="shared" si="40"/>
        <v>0.16990062699023606</v>
      </c>
      <c r="S57" s="1"/>
      <c r="T57" s="1">
        <f>SUM(OSRRefT22_9x_0)</f>
        <v>7510</v>
      </c>
      <c r="U57" s="1"/>
      <c r="V57" s="5">
        <f t="shared" si="41"/>
        <v>0.36989917169182823</v>
      </c>
      <c r="W57" s="1"/>
      <c r="X57" s="1">
        <f t="shared" si="42"/>
        <v>-257</v>
      </c>
      <c r="Y57" s="1"/>
      <c r="Z57" s="5">
        <f t="shared" si="43"/>
        <v>-3.4221038615179764E-2</v>
      </c>
    </row>
    <row r="58" spans="1:26" s="24" customFormat="1" hidden="1" outlineLevel="2" x14ac:dyDescent="0.3">
      <c r="A58" s="27"/>
      <c r="B58" s="12" t="str">
        <f>CONCATENATE("          ", "6401", " - ", "INTEREST EXPENSE")</f>
        <v xml:space="preserve">          6401 - INTEREST EXPENSE</v>
      </c>
      <c r="C58" s="12"/>
      <c r="D58" s="8">
        <v>7253</v>
      </c>
      <c r="E58" s="3"/>
      <c r="F58" s="7">
        <f t="shared" si="36"/>
        <v>0.16990062699023606</v>
      </c>
      <c r="G58" s="3"/>
      <c r="H58" s="8">
        <v>7510</v>
      </c>
      <c r="I58" s="3"/>
      <c r="J58" s="7">
        <f t="shared" si="37"/>
        <v>0.36989917169182823</v>
      </c>
      <c r="K58" s="3"/>
      <c r="L58" s="8">
        <f t="shared" si="38"/>
        <v>-257</v>
      </c>
      <c r="M58" s="3"/>
      <c r="N58" s="7">
        <f t="shared" si="39"/>
        <v>-3.4221038615179764E-2</v>
      </c>
      <c r="O58" s="12"/>
      <c r="P58" s="8">
        <v>7253</v>
      </c>
      <c r="Q58" s="3"/>
      <c r="R58" s="7">
        <f t="shared" si="40"/>
        <v>0.16990062699023606</v>
      </c>
      <c r="S58" s="3"/>
      <c r="T58" s="8">
        <v>7510</v>
      </c>
      <c r="U58" s="3"/>
      <c r="V58" s="7">
        <f t="shared" si="41"/>
        <v>0.36989917169182823</v>
      </c>
      <c r="W58" s="3"/>
      <c r="X58" s="8">
        <f t="shared" si="42"/>
        <v>-257</v>
      </c>
      <c r="Y58" s="3"/>
      <c r="Z58" s="7">
        <f t="shared" si="43"/>
        <v>-3.4221038615179764E-2</v>
      </c>
    </row>
    <row r="59" spans="1:26" s="29" customFormat="1" outlineLevel="1" collapsed="1" x14ac:dyDescent="0.3">
      <c r="A59" s="28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SUM(OSRRefD22_10x_0)</f>
        <v>1568</v>
      </c>
      <c r="E59" s="1"/>
      <c r="F59" s="5">
        <f t="shared" si="36"/>
        <v>3.6730205862496916E-2</v>
      </c>
      <c r="G59" s="1"/>
      <c r="H59" s="1">
        <f>SUM(OSRRefH22_10x_0)</f>
        <v>1151.68</v>
      </c>
      <c r="I59" s="1"/>
      <c r="J59" s="5">
        <f t="shared" si="37"/>
        <v>5.6725096944613147E-2</v>
      </c>
      <c r="K59" s="1"/>
      <c r="L59" s="1">
        <f t="shared" si="38"/>
        <v>416.31999999999994</v>
      </c>
      <c r="M59" s="1"/>
      <c r="N59" s="5">
        <f t="shared" si="39"/>
        <v>0.36148930258405104</v>
      </c>
      <c r="O59" s="14"/>
      <c r="P59" s="1">
        <f>SUM(OSRRefP22_10x_0)</f>
        <v>1568</v>
      </c>
      <c r="Q59" s="1"/>
      <c r="R59" s="5">
        <f t="shared" si="40"/>
        <v>3.6730205862496916E-2</v>
      </c>
      <c r="S59" s="1"/>
      <c r="T59" s="1">
        <f>SUM(OSRRefT22_10x_0)</f>
        <v>1151.68</v>
      </c>
      <c r="U59" s="1"/>
      <c r="V59" s="5">
        <f t="shared" si="41"/>
        <v>5.6725096944613147E-2</v>
      </c>
      <c r="W59" s="1"/>
      <c r="X59" s="1">
        <f t="shared" si="42"/>
        <v>416.31999999999994</v>
      </c>
      <c r="Y59" s="1"/>
      <c r="Z59" s="5">
        <f t="shared" si="43"/>
        <v>0.36148930258405104</v>
      </c>
    </row>
    <row r="60" spans="1:26" s="24" customFormat="1" hidden="1" outlineLevel="2" x14ac:dyDescent="0.3">
      <c r="A60" s="27"/>
      <c r="B60" s="12" t="str">
        <f>CONCATENATE("          ", "6387", " - ", "COMMISSION DUE HOUSING")</f>
        <v xml:space="preserve">          6387 - COMMISSION DUE HOUSING</v>
      </c>
      <c r="C60" s="12"/>
      <c r="D60" s="8">
        <v>1568</v>
      </c>
      <c r="E60" s="3"/>
      <c r="F60" s="7">
        <f t="shared" si="36"/>
        <v>3.6730205862496916E-2</v>
      </c>
      <c r="G60" s="3"/>
      <c r="H60" s="8">
        <v>1151.68</v>
      </c>
      <c r="I60" s="3"/>
      <c r="J60" s="7">
        <f t="shared" si="37"/>
        <v>5.6725096944613147E-2</v>
      </c>
      <c r="K60" s="3"/>
      <c r="L60" s="8">
        <f t="shared" si="38"/>
        <v>416.31999999999994</v>
      </c>
      <c r="M60" s="3"/>
      <c r="N60" s="7">
        <f t="shared" si="39"/>
        <v>0.36148930258405104</v>
      </c>
      <c r="O60" s="12"/>
      <c r="P60" s="8">
        <v>1568</v>
      </c>
      <c r="Q60" s="3"/>
      <c r="R60" s="7">
        <f t="shared" si="40"/>
        <v>3.6730205862496916E-2</v>
      </c>
      <c r="S60" s="3"/>
      <c r="T60" s="8">
        <v>1151.68</v>
      </c>
      <c r="U60" s="3"/>
      <c r="V60" s="7">
        <f t="shared" si="41"/>
        <v>5.6725096944613147E-2</v>
      </c>
      <c r="W60" s="3"/>
      <c r="X60" s="8">
        <f t="shared" si="42"/>
        <v>416.31999999999994</v>
      </c>
      <c r="Y60" s="3"/>
      <c r="Z60" s="7">
        <f t="shared" si="43"/>
        <v>0.36148930258405104</v>
      </c>
    </row>
    <row r="61" spans="1:26" s="29" customFormat="1" outlineLevel="1" collapsed="1" x14ac:dyDescent="0.3">
      <c r="A61" s="28"/>
      <c r="B61" s="14" t="str">
        <f>CONCATENATE("     ","Rent                                              ")</f>
        <v xml:space="preserve">     Rent                                              </v>
      </c>
      <c r="C61" s="14"/>
      <c r="D61" s="1">
        <f>SUM(OSRRefD22_11x_0)</f>
        <v>1850</v>
      </c>
      <c r="E61" s="1"/>
      <c r="F61" s="5">
        <f t="shared" si="36"/>
        <v>4.3336020947461286E-2</v>
      </c>
      <c r="G61" s="1"/>
      <c r="H61" s="1">
        <f>SUM(OSRRefH22_11x_0)</f>
        <v>0</v>
      </c>
      <c r="I61" s="1"/>
      <c r="J61" s="5">
        <f t="shared" si="37"/>
        <v>0</v>
      </c>
      <c r="K61" s="1"/>
      <c r="L61" s="1">
        <f t="shared" si="38"/>
        <v>1850</v>
      </c>
      <c r="M61" s="1"/>
      <c r="N61" s="5">
        <f t="shared" si="39"/>
        <v>0</v>
      </c>
      <c r="O61" s="14"/>
      <c r="P61" s="1">
        <f>SUM(OSRRefP22_11x_0)</f>
        <v>1850</v>
      </c>
      <c r="Q61" s="1"/>
      <c r="R61" s="5">
        <f t="shared" si="40"/>
        <v>4.3336020947461286E-2</v>
      </c>
      <c r="S61" s="1"/>
      <c r="T61" s="1">
        <f>SUM(OSRRefT22_11x_0)</f>
        <v>0</v>
      </c>
      <c r="U61" s="1"/>
      <c r="V61" s="5">
        <f t="shared" si="41"/>
        <v>0</v>
      </c>
      <c r="W61" s="1"/>
      <c r="X61" s="1">
        <f t="shared" si="42"/>
        <v>1850</v>
      </c>
      <c r="Y61" s="1"/>
      <c r="Z61" s="5">
        <f t="shared" si="43"/>
        <v>0</v>
      </c>
    </row>
    <row r="62" spans="1:26" s="24" customFormat="1" hidden="1" outlineLevel="2" x14ac:dyDescent="0.3">
      <c r="A62" s="27"/>
      <c r="B62" s="12" t="str">
        <f>CONCATENATE("          ", "6273", " - ", "RENT")</f>
        <v xml:space="preserve">          6273 - RENT</v>
      </c>
      <c r="C62" s="12"/>
      <c r="D62" s="8">
        <v>1850</v>
      </c>
      <c r="E62" s="3"/>
      <c r="F62" s="7">
        <f t="shared" si="36"/>
        <v>4.3336020947461286E-2</v>
      </c>
      <c r="G62" s="3"/>
      <c r="H62" s="8"/>
      <c r="I62" s="3"/>
      <c r="J62" s="7">
        <f t="shared" si="37"/>
        <v>0</v>
      </c>
      <c r="K62" s="3"/>
      <c r="L62" s="8">
        <f t="shared" si="38"/>
        <v>1850</v>
      </c>
      <c r="M62" s="3"/>
      <c r="N62" s="7">
        <f t="shared" si="39"/>
        <v>0</v>
      </c>
      <c r="O62" s="12"/>
      <c r="P62" s="8">
        <v>1850</v>
      </c>
      <c r="Q62" s="3"/>
      <c r="R62" s="7">
        <f t="shared" si="40"/>
        <v>4.3336020947461286E-2</v>
      </c>
      <c r="S62" s="3"/>
      <c r="T62" s="8"/>
      <c r="U62" s="3"/>
      <c r="V62" s="7">
        <f t="shared" si="41"/>
        <v>0</v>
      </c>
      <c r="W62" s="3"/>
      <c r="X62" s="8">
        <f t="shared" si="42"/>
        <v>1850</v>
      </c>
      <c r="Y62" s="3"/>
      <c r="Z62" s="7">
        <f t="shared" si="43"/>
        <v>0</v>
      </c>
    </row>
    <row r="63" spans="1:26" s="29" customFormat="1" outlineLevel="1" collapsed="1" x14ac:dyDescent="0.3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SUM(OSRRefD22_12x_0)</f>
        <v>7260.71</v>
      </c>
      <c r="E63" s="1"/>
      <c r="F63" s="5">
        <f t="shared" si="36"/>
        <v>0.17008123278564413</v>
      </c>
      <c r="G63" s="1"/>
      <c r="H63" s="1">
        <f>SUM(OSRRefH22_12x_0)</f>
        <v>4112.0599999999995</v>
      </c>
      <c r="I63" s="1"/>
      <c r="J63" s="5">
        <f t="shared" si="37"/>
        <v>0.20253629666406112</v>
      </c>
      <c r="K63" s="1"/>
      <c r="L63" s="1">
        <f t="shared" si="38"/>
        <v>3148.6500000000005</v>
      </c>
      <c r="M63" s="1"/>
      <c r="N63" s="5">
        <f t="shared" si="39"/>
        <v>0.76571110343720683</v>
      </c>
      <c r="O63" s="14"/>
      <c r="P63" s="1">
        <f>SUM(OSRRefP22_12x_0)</f>
        <v>7260.71</v>
      </c>
      <c r="Q63" s="1"/>
      <c r="R63" s="5">
        <f t="shared" si="40"/>
        <v>0.17008123278564413</v>
      </c>
      <c r="S63" s="1"/>
      <c r="T63" s="1">
        <f>SUM(OSRRefT22_12x_0)</f>
        <v>4112.0599999999995</v>
      </c>
      <c r="U63" s="1"/>
      <c r="V63" s="5">
        <f t="shared" si="41"/>
        <v>0.20253629666406112</v>
      </c>
      <c r="W63" s="1"/>
      <c r="X63" s="1">
        <f t="shared" si="42"/>
        <v>3148.6500000000005</v>
      </c>
      <c r="Y63" s="1"/>
      <c r="Z63" s="5">
        <f t="shared" si="43"/>
        <v>0.76571110343720683</v>
      </c>
    </row>
    <row r="64" spans="1:26" s="24" customFormat="1" hidden="1" outlineLevel="2" x14ac:dyDescent="0.3">
      <c r="A64" s="27"/>
      <c r="B64" s="12" t="str">
        <f>CONCATENATE("          ", "6371", " - ", "COMPUTER SOFTWARE MAINTENANCE")</f>
        <v xml:space="preserve">          6371 - COMPUTER SOFTWARE MAINTENANCE</v>
      </c>
      <c r="C64" s="12"/>
      <c r="D64" s="8">
        <v>3500</v>
      </c>
      <c r="E64" s="3"/>
      <c r="F64" s="7">
        <f t="shared" si="36"/>
        <v>8.1987066657359192E-2</v>
      </c>
      <c r="G64" s="3"/>
      <c r="H64" s="8"/>
      <c r="I64" s="3"/>
      <c r="J64" s="7">
        <f t="shared" si="37"/>
        <v>0</v>
      </c>
      <c r="K64" s="3"/>
      <c r="L64" s="8">
        <f t="shared" si="38"/>
        <v>3500</v>
      </c>
      <c r="M64" s="3"/>
      <c r="N64" s="7">
        <f t="shared" si="39"/>
        <v>0</v>
      </c>
      <c r="O64" s="12"/>
      <c r="P64" s="8">
        <v>3500</v>
      </c>
      <c r="Q64" s="3"/>
      <c r="R64" s="7">
        <f t="shared" si="40"/>
        <v>8.1987066657359192E-2</v>
      </c>
      <c r="S64" s="3"/>
      <c r="T64" s="8"/>
      <c r="U64" s="3"/>
      <c r="V64" s="7">
        <f t="shared" si="41"/>
        <v>0</v>
      </c>
      <c r="W64" s="3"/>
      <c r="X64" s="8">
        <f t="shared" si="42"/>
        <v>3500</v>
      </c>
      <c r="Y64" s="3"/>
      <c r="Z64" s="7">
        <f t="shared" si="43"/>
        <v>0</v>
      </c>
    </row>
    <row r="65" spans="1:26" s="24" customFormat="1" hidden="1" outlineLevel="2" x14ac:dyDescent="0.3">
      <c r="A65" s="27"/>
      <c r="B65" s="12" t="str">
        <f>CONCATENATE("          ", "6373", " - ", "MAINTENANCE CONTRACTS")</f>
        <v xml:space="preserve">          6373 - MAINTENANCE CONTRACTS</v>
      </c>
      <c r="C65" s="12"/>
      <c r="D65" s="8">
        <v>14.87</v>
      </c>
      <c r="E65" s="3"/>
      <c r="F65" s="7">
        <f t="shared" si="36"/>
        <v>3.4832790891283746E-4</v>
      </c>
      <c r="G65" s="3"/>
      <c r="H65" s="8">
        <v>2355.2399999999998</v>
      </c>
      <c r="I65" s="3"/>
      <c r="J65" s="7">
        <f t="shared" si="37"/>
        <v>0.11600550268115331</v>
      </c>
      <c r="K65" s="3"/>
      <c r="L65" s="8">
        <f t="shared" si="38"/>
        <v>-2340.37</v>
      </c>
      <c r="M65" s="3"/>
      <c r="N65" s="7">
        <f t="shared" si="39"/>
        <v>-0.99368641836925331</v>
      </c>
      <c r="O65" s="12"/>
      <c r="P65" s="8">
        <v>14.87</v>
      </c>
      <c r="Q65" s="3"/>
      <c r="R65" s="7">
        <f t="shared" si="40"/>
        <v>3.4832790891283746E-4</v>
      </c>
      <c r="S65" s="3"/>
      <c r="T65" s="8">
        <v>2355.2399999999998</v>
      </c>
      <c r="U65" s="3"/>
      <c r="V65" s="7">
        <f t="shared" si="41"/>
        <v>0.11600550268115331</v>
      </c>
      <c r="W65" s="3"/>
      <c r="X65" s="8">
        <f t="shared" si="42"/>
        <v>-2340.37</v>
      </c>
      <c r="Y65" s="3"/>
      <c r="Z65" s="7">
        <f t="shared" si="43"/>
        <v>-0.99368641836925331</v>
      </c>
    </row>
    <row r="66" spans="1:26" s="24" customFormat="1" hidden="1" outlineLevel="2" x14ac:dyDescent="0.3">
      <c r="A66" s="27"/>
      <c r="B66" s="12" t="str">
        <f>CONCATENATE("          ", "6375", " - ", "OUTSIDE REPAIRS &amp; MAINTENANCE")</f>
        <v xml:space="preserve">          6375 - OUTSIDE REPAIRS &amp; MAINTENANCE</v>
      </c>
      <c r="C66" s="12"/>
      <c r="D66" s="8">
        <v>3745.84</v>
      </c>
      <c r="E66" s="3"/>
      <c r="F66" s="7">
        <f t="shared" si="36"/>
        <v>8.7745838219372096E-2</v>
      </c>
      <c r="G66" s="3"/>
      <c r="H66" s="8">
        <v>1756.82</v>
      </c>
      <c r="I66" s="3"/>
      <c r="J66" s="7">
        <f t="shared" si="37"/>
        <v>8.6530793982907805E-2</v>
      </c>
      <c r="K66" s="3"/>
      <c r="L66" s="8">
        <f t="shared" si="38"/>
        <v>1989.0200000000002</v>
      </c>
      <c r="M66" s="3"/>
      <c r="N66" s="7">
        <f t="shared" si="39"/>
        <v>1.1321706264728317</v>
      </c>
      <c r="O66" s="12"/>
      <c r="P66" s="8">
        <v>3745.84</v>
      </c>
      <c r="Q66" s="3"/>
      <c r="R66" s="7">
        <f t="shared" si="40"/>
        <v>8.7745838219372096E-2</v>
      </c>
      <c r="S66" s="3"/>
      <c r="T66" s="8">
        <v>1756.82</v>
      </c>
      <c r="U66" s="3"/>
      <c r="V66" s="7">
        <f t="shared" si="41"/>
        <v>8.6530793982907805E-2</v>
      </c>
      <c r="W66" s="3"/>
      <c r="X66" s="8">
        <f t="shared" si="42"/>
        <v>1989.0200000000002</v>
      </c>
      <c r="Y66" s="3"/>
      <c r="Z66" s="7">
        <f t="shared" si="43"/>
        <v>1.1321706264728317</v>
      </c>
    </row>
    <row r="67" spans="1:26" s="29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SUM(OSRRefD22_13x_0)</f>
        <v>17668.150000000001</v>
      </c>
      <c r="E67" s="1"/>
      <c r="F67" s="5">
        <f t="shared" ref="F67:F71" si="44">IF(D$12=0,0,D67/D$12)</f>
        <v>0.41387422621777742</v>
      </c>
      <c r="G67" s="1"/>
      <c r="H67" s="1">
        <f>SUM(OSRRefH22_13x_0)</f>
        <v>12759.87</v>
      </c>
      <c r="I67" s="1"/>
      <c r="J67" s="5">
        <f t="shared" ref="J67:J71" si="45">IF(H$12=0,0,H67/H$12)</f>
        <v>0.62847740930697849</v>
      </c>
      <c r="K67" s="1"/>
      <c r="L67" s="1">
        <f t="shared" ref="L67:L71" si="46">+D67-H67</f>
        <v>4908.2800000000007</v>
      </c>
      <c r="M67" s="1"/>
      <c r="N67" s="5">
        <f t="shared" ref="N67:N71" si="47">IF(H67=0,0,L67/H67)</f>
        <v>0.38466536101073134</v>
      </c>
      <c r="O67" s="14"/>
      <c r="P67" s="1">
        <f>SUM(OSRRefP22_13x_0)</f>
        <v>17668.150000000001</v>
      </c>
      <c r="Q67" s="1"/>
      <c r="R67" s="5">
        <f t="shared" ref="R67:R71" si="48">IF(P$12=0,0,P67/P$12)</f>
        <v>0.41387422621777742</v>
      </c>
      <c r="S67" s="1"/>
      <c r="T67" s="1">
        <f>SUM(OSRRefT22_13x_0)</f>
        <v>12759.87</v>
      </c>
      <c r="U67" s="1"/>
      <c r="V67" s="5">
        <f t="shared" ref="V67:V71" si="49">IF(T$12=0,0,T67/T$12)</f>
        <v>0.62847740930697849</v>
      </c>
      <c r="W67" s="1"/>
      <c r="X67" s="1">
        <f t="shared" ref="X67:X71" si="50">+P67-T67</f>
        <v>4908.2800000000007</v>
      </c>
      <c r="Y67" s="1"/>
      <c r="Z67" s="5">
        <f t="shared" ref="Z67:Z71" si="51">IF(T67=0,0,X67/T67)</f>
        <v>0.38466536101073134</v>
      </c>
    </row>
    <row r="68" spans="1:26" s="24" customFormat="1" hidden="1" outlineLevel="2" x14ac:dyDescent="0.3">
      <c r="A68" s="27"/>
      <c r="B68" s="12" t="str">
        <f>CONCATENATE("          ", "6282", " - ", "JANITORIAL/EXTERMINATOR EXPENS")</f>
        <v xml:space="preserve">          6282 - JANITORIAL/EXTERMINATOR EXPENS</v>
      </c>
      <c r="C68" s="12"/>
      <c r="D68" s="8">
        <v>2178.6</v>
      </c>
      <c r="E68" s="3"/>
      <c r="F68" s="7">
        <f t="shared" si="44"/>
        <v>5.1033435262777919E-2</v>
      </c>
      <c r="G68" s="3"/>
      <c r="H68" s="8">
        <v>1508.3</v>
      </c>
      <c r="I68" s="3"/>
      <c r="J68" s="7">
        <f t="shared" si="45"/>
        <v>7.4290135907161714E-2</v>
      </c>
      <c r="K68" s="3"/>
      <c r="L68" s="8">
        <f t="shared" si="46"/>
        <v>670.3</v>
      </c>
      <c r="M68" s="3"/>
      <c r="N68" s="7">
        <f t="shared" si="47"/>
        <v>0.44440761121792743</v>
      </c>
      <c r="O68" s="12"/>
      <c r="P68" s="8">
        <v>2178.6</v>
      </c>
      <c r="Q68" s="3"/>
      <c r="R68" s="7">
        <f t="shared" si="48"/>
        <v>5.1033435262777919E-2</v>
      </c>
      <c r="S68" s="3"/>
      <c r="T68" s="8">
        <v>1508.3</v>
      </c>
      <c r="U68" s="3"/>
      <c r="V68" s="7">
        <f t="shared" si="49"/>
        <v>7.4290135907161714E-2</v>
      </c>
      <c r="W68" s="3"/>
      <c r="X68" s="8">
        <f t="shared" si="50"/>
        <v>670.3</v>
      </c>
      <c r="Y68" s="3"/>
      <c r="Z68" s="7">
        <f t="shared" si="51"/>
        <v>0.44440761121792743</v>
      </c>
    </row>
    <row r="69" spans="1:26" s="24" customFormat="1" hidden="1" outlineLevel="2" x14ac:dyDescent="0.3">
      <c r="A69" s="27"/>
      <c r="B69" s="12" t="str">
        <f>CONCATENATE("          ", "6284", " - ", "TRASH REMOVAL EXPENSE")</f>
        <v xml:space="preserve">          6284 - TRASH REMOVAL EXPENSE</v>
      </c>
      <c r="C69" s="12"/>
      <c r="D69" s="8"/>
      <c r="E69" s="3"/>
      <c r="F69" s="7">
        <f t="shared" si="44"/>
        <v>0</v>
      </c>
      <c r="G69" s="3"/>
      <c r="H69" s="8">
        <v>1000</v>
      </c>
      <c r="I69" s="3"/>
      <c r="J69" s="7">
        <f t="shared" si="45"/>
        <v>4.9254217269218137E-2</v>
      </c>
      <c r="K69" s="3"/>
      <c r="L69" s="8">
        <f t="shared" si="46"/>
        <v>-1000</v>
      </c>
      <c r="M69" s="3"/>
      <c r="N69" s="7">
        <f t="shared" si="47"/>
        <v>-1</v>
      </c>
      <c r="O69" s="12"/>
      <c r="P69" s="8"/>
      <c r="Q69" s="3"/>
      <c r="R69" s="7">
        <f t="shared" si="48"/>
        <v>0</v>
      </c>
      <c r="S69" s="3"/>
      <c r="T69" s="8">
        <v>1000</v>
      </c>
      <c r="U69" s="3"/>
      <c r="V69" s="7">
        <f t="shared" si="49"/>
        <v>4.9254217269218137E-2</v>
      </c>
      <c r="W69" s="3"/>
      <c r="X69" s="8">
        <f t="shared" si="50"/>
        <v>-1000</v>
      </c>
      <c r="Y69" s="3"/>
      <c r="Z69" s="7">
        <f t="shared" si="51"/>
        <v>-1</v>
      </c>
    </row>
    <row r="70" spans="1:26" s="24" customFormat="1" hidden="1" outlineLevel="2" x14ac:dyDescent="0.3">
      <c r="A70" s="27"/>
      <c r="B70" s="12" t="str">
        <f>CONCATENATE("          ", "6285", " - ", "JANITORIAL SERVICES")</f>
        <v xml:space="preserve">          6285 - JANITORIAL SERVICES</v>
      </c>
      <c r="C70" s="12"/>
      <c r="D70" s="8">
        <v>14406.58</v>
      </c>
      <c r="E70" s="3"/>
      <c r="F70" s="7">
        <f t="shared" si="44"/>
        <v>0.33747235278987936</v>
      </c>
      <c r="G70" s="3"/>
      <c r="H70" s="8">
        <v>8314.1</v>
      </c>
      <c r="I70" s="3"/>
      <c r="J70" s="7">
        <f t="shared" si="45"/>
        <v>0.40950448779800652</v>
      </c>
      <c r="K70" s="3"/>
      <c r="L70" s="8">
        <f t="shared" si="46"/>
        <v>6092.48</v>
      </c>
      <c r="M70" s="3"/>
      <c r="N70" s="7">
        <f t="shared" si="47"/>
        <v>0.73278887672748694</v>
      </c>
      <c r="O70" s="12"/>
      <c r="P70" s="8">
        <v>14406.58</v>
      </c>
      <c r="Q70" s="3"/>
      <c r="R70" s="7">
        <f t="shared" si="48"/>
        <v>0.33747235278987936</v>
      </c>
      <c r="S70" s="3"/>
      <c r="T70" s="8">
        <v>8314.1</v>
      </c>
      <c r="U70" s="3"/>
      <c r="V70" s="7">
        <f t="shared" si="49"/>
        <v>0.40950448779800652</v>
      </c>
      <c r="W70" s="3"/>
      <c r="X70" s="8">
        <f t="shared" si="50"/>
        <v>6092.48</v>
      </c>
      <c r="Y70" s="3"/>
      <c r="Z70" s="7">
        <f t="shared" si="51"/>
        <v>0.73278887672748694</v>
      </c>
    </row>
    <row r="71" spans="1:26" s="24" customFormat="1" hidden="1" outlineLevel="2" x14ac:dyDescent="0.3">
      <c r="A71" s="27"/>
      <c r="B71" s="12" t="str">
        <f>CONCATENATE("          ", "6286", " - ", "LAUNDRY EXPENSE")</f>
        <v xml:space="preserve">          6286 - LAUNDRY EXPENSE</v>
      </c>
      <c r="C71" s="12"/>
      <c r="D71" s="8">
        <v>1082.97</v>
      </c>
      <c r="E71" s="3"/>
      <c r="F71" s="7">
        <f t="shared" si="44"/>
        <v>2.5368438165120081E-2</v>
      </c>
      <c r="G71" s="3"/>
      <c r="H71" s="8">
        <v>1937.47</v>
      </c>
      <c r="I71" s="3"/>
      <c r="J71" s="7">
        <f t="shared" si="45"/>
        <v>9.542856833259207E-2</v>
      </c>
      <c r="K71" s="3"/>
      <c r="L71" s="8">
        <f t="shared" si="46"/>
        <v>-854.5</v>
      </c>
      <c r="M71" s="3"/>
      <c r="N71" s="7">
        <f t="shared" si="47"/>
        <v>-0.44103908705683187</v>
      </c>
      <c r="O71" s="12"/>
      <c r="P71" s="8">
        <v>1082.97</v>
      </c>
      <c r="Q71" s="3"/>
      <c r="R71" s="7">
        <f t="shared" si="48"/>
        <v>2.5368438165120081E-2</v>
      </c>
      <c r="S71" s="3"/>
      <c r="T71" s="8">
        <v>1937.47</v>
      </c>
      <c r="U71" s="3"/>
      <c r="V71" s="7">
        <f t="shared" si="49"/>
        <v>9.542856833259207E-2</v>
      </c>
      <c r="W71" s="3"/>
      <c r="X71" s="8">
        <f t="shared" si="50"/>
        <v>-854.5</v>
      </c>
      <c r="Y71" s="3"/>
      <c r="Z71" s="7">
        <f t="shared" si="51"/>
        <v>-0.44103908705683187</v>
      </c>
    </row>
    <row r="72" spans="1:26" s="29" customFormat="1" outlineLevel="1" collapsed="1" x14ac:dyDescent="0.3">
      <c r="A72" s="28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SUM(OSRRefD22_14x_0)</f>
        <v>130.66999999999999</v>
      </c>
      <c r="E72" s="1"/>
      <c r="F72" s="5">
        <f t="shared" ref="F72:F79" si="52">IF(D$12=0,0,D72/D$12)</f>
        <v>3.0609285714620353E-3</v>
      </c>
      <c r="G72" s="1"/>
      <c r="H72" s="1">
        <f>SUM(OSRRefH22_14x_0)</f>
        <v>9.32</v>
      </c>
      <c r="I72" s="1"/>
      <c r="J72" s="5">
        <f t="shared" ref="J72:J79" si="53">IF(H$12=0,0,H72/H$12)</f>
        <v>4.5904930494911306E-4</v>
      </c>
      <c r="K72" s="1"/>
      <c r="L72" s="1">
        <f t="shared" ref="L72:L79" si="54">+D72-H72</f>
        <v>121.35</v>
      </c>
      <c r="M72" s="1"/>
      <c r="N72" s="5">
        <f t="shared" ref="N72:N79" si="55">IF(H72=0,0,L72/H72)</f>
        <v>13.02038626609442</v>
      </c>
      <c r="O72" s="14"/>
      <c r="P72" s="1">
        <f>SUM(OSRRefP22_14x_0)</f>
        <v>130.66999999999999</v>
      </c>
      <c r="Q72" s="1"/>
      <c r="R72" s="5">
        <f t="shared" ref="R72:R79" si="56">IF(P$12=0,0,P72/P$12)</f>
        <v>3.0609285714620353E-3</v>
      </c>
      <c r="S72" s="1"/>
      <c r="T72" s="1">
        <f>SUM(OSRRefT22_14x_0)</f>
        <v>9.32</v>
      </c>
      <c r="U72" s="1"/>
      <c r="V72" s="5">
        <f t="shared" ref="V72:V79" si="57">IF(T$12=0,0,T72/T$12)</f>
        <v>4.5904930494911306E-4</v>
      </c>
      <c r="W72" s="1"/>
      <c r="X72" s="1">
        <f t="shared" ref="X72:X79" si="58">+P72-T72</f>
        <v>121.35</v>
      </c>
      <c r="Y72" s="1"/>
      <c r="Z72" s="5">
        <f t="shared" ref="Z72:Z79" si="59">IF(T72=0,0,X72/T72)</f>
        <v>13.02038626609442</v>
      </c>
    </row>
    <row r="73" spans="1:26" s="24" customFormat="1" hidden="1" outlineLevel="2" x14ac:dyDescent="0.3">
      <c r="A73" s="27"/>
      <c r="B73" s="12" t="str">
        <f>CONCATENATE("          ", "6275", " - ", "SUBSCRIPTIONS")</f>
        <v xml:space="preserve">          6275 - SUBSCRIPTIONS</v>
      </c>
      <c r="C73" s="12"/>
      <c r="D73" s="8">
        <v>130.66999999999999</v>
      </c>
      <c r="E73" s="3"/>
      <c r="F73" s="7">
        <f t="shared" si="52"/>
        <v>3.0609285714620353E-3</v>
      </c>
      <c r="G73" s="3"/>
      <c r="H73" s="8">
        <v>9.32</v>
      </c>
      <c r="I73" s="3"/>
      <c r="J73" s="7">
        <f t="shared" si="53"/>
        <v>4.5904930494911306E-4</v>
      </c>
      <c r="K73" s="3"/>
      <c r="L73" s="8">
        <f t="shared" si="54"/>
        <v>121.35</v>
      </c>
      <c r="M73" s="3"/>
      <c r="N73" s="7">
        <f t="shared" si="55"/>
        <v>13.02038626609442</v>
      </c>
      <c r="O73" s="12"/>
      <c r="P73" s="8">
        <v>130.66999999999999</v>
      </c>
      <c r="Q73" s="3"/>
      <c r="R73" s="7">
        <f t="shared" si="56"/>
        <v>3.0609285714620353E-3</v>
      </c>
      <c r="S73" s="3"/>
      <c r="T73" s="8">
        <v>9.32</v>
      </c>
      <c r="U73" s="3"/>
      <c r="V73" s="7">
        <f t="shared" si="57"/>
        <v>4.5904930494911306E-4</v>
      </c>
      <c r="W73" s="3"/>
      <c r="X73" s="8">
        <f t="shared" si="58"/>
        <v>121.35</v>
      </c>
      <c r="Y73" s="3"/>
      <c r="Z73" s="7">
        <f t="shared" si="59"/>
        <v>13.02038626609442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SUM(OSRRefD22_15x_0)</f>
        <v>6941.0899999999992</v>
      </c>
      <c r="E74" s="1"/>
      <c r="F74" s="5">
        <f t="shared" si="52"/>
        <v>0.16259417385849406</v>
      </c>
      <c r="G74" s="1"/>
      <c r="H74" s="1">
        <f>SUM(OSRRefH22_15x_0)</f>
        <v>7354.66</v>
      </c>
      <c r="I74" s="1"/>
      <c r="J74" s="5">
        <f t="shared" si="53"/>
        <v>0.36224802158122787</v>
      </c>
      <c r="K74" s="1"/>
      <c r="L74" s="1">
        <f t="shared" si="54"/>
        <v>-413.57000000000062</v>
      </c>
      <c r="M74" s="1"/>
      <c r="N74" s="5">
        <f t="shared" si="55"/>
        <v>-5.6232375119992038E-2</v>
      </c>
      <c r="O74" s="14"/>
      <c r="P74" s="1">
        <f>SUM(OSRRefP22_15x_0)</f>
        <v>6941.0899999999992</v>
      </c>
      <c r="Q74" s="1"/>
      <c r="R74" s="5">
        <f t="shared" si="56"/>
        <v>0.16259417385849406</v>
      </c>
      <c r="S74" s="1"/>
      <c r="T74" s="1">
        <f>SUM(OSRRefT22_15x_0)</f>
        <v>7354.66</v>
      </c>
      <c r="U74" s="1"/>
      <c r="V74" s="5">
        <f t="shared" si="57"/>
        <v>0.36224802158122787</v>
      </c>
      <c r="W74" s="1"/>
      <c r="X74" s="1">
        <f t="shared" si="58"/>
        <v>-413.57000000000062</v>
      </c>
      <c r="Y74" s="1"/>
      <c r="Z74" s="5">
        <f t="shared" si="59"/>
        <v>-5.6232375119992038E-2</v>
      </c>
    </row>
    <row r="75" spans="1:26" s="24" customFormat="1" hidden="1" outlineLevel="2" x14ac:dyDescent="0.3">
      <c r="A75" s="27"/>
      <c r="B75" s="12" t="str">
        <f>CONCATENATE("          ", "6235", " - ", "COVID-19 EXPENSES")</f>
        <v xml:space="preserve">          6235 - COVID-19 EXPENSES</v>
      </c>
      <c r="C75" s="12"/>
      <c r="D75" s="8"/>
      <c r="E75" s="3"/>
      <c r="F75" s="7">
        <f t="shared" si="52"/>
        <v>0</v>
      </c>
      <c r="G75" s="3"/>
      <c r="H75" s="8">
        <v>5501.94</v>
      </c>
      <c r="I75" s="3"/>
      <c r="J75" s="7">
        <f t="shared" si="53"/>
        <v>0.27099374816220201</v>
      </c>
      <c r="K75" s="3"/>
      <c r="L75" s="8">
        <f t="shared" si="54"/>
        <v>-5501.94</v>
      </c>
      <c r="M75" s="3"/>
      <c r="N75" s="7">
        <f t="shared" si="55"/>
        <v>-1</v>
      </c>
      <c r="O75" s="12"/>
      <c r="P75" s="8"/>
      <c r="Q75" s="3"/>
      <c r="R75" s="7">
        <f t="shared" si="56"/>
        <v>0</v>
      </c>
      <c r="S75" s="3"/>
      <c r="T75" s="8">
        <v>5501.94</v>
      </c>
      <c r="U75" s="3"/>
      <c r="V75" s="7">
        <f t="shared" si="57"/>
        <v>0.27099374816220201</v>
      </c>
      <c r="W75" s="3"/>
      <c r="X75" s="8">
        <f t="shared" si="58"/>
        <v>-5501.94</v>
      </c>
      <c r="Y75" s="3"/>
      <c r="Z75" s="7">
        <f t="shared" si="59"/>
        <v>-1</v>
      </c>
    </row>
    <row r="76" spans="1:26" s="24" customFormat="1" hidden="1" outlineLevel="2" x14ac:dyDescent="0.3">
      <c r="A76" s="27"/>
      <c r="B76" s="12" t="str">
        <f>CONCATENATE("          ", "6237", " - ", "JANITORIAL SUPPLIES")</f>
        <v xml:space="preserve">          6237 - JANITORIAL SUPPLIES</v>
      </c>
      <c r="C76" s="12"/>
      <c r="D76" s="8">
        <v>4704.12</v>
      </c>
      <c r="E76" s="3"/>
      <c r="F76" s="7">
        <f t="shared" si="52"/>
        <v>0.11019342857263328</v>
      </c>
      <c r="G76" s="3"/>
      <c r="H76" s="8">
        <v>1188.04</v>
      </c>
      <c r="I76" s="3"/>
      <c r="J76" s="7">
        <f t="shared" si="53"/>
        <v>5.8515980284521915E-2</v>
      </c>
      <c r="K76" s="3"/>
      <c r="L76" s="8">
        <f t="shared" si="54"/>
        <v>3516.08</v>
      </c>
      <c r="M76" s="3"/>
      <c r="N76" s="7">
        <f t="shared" si="55"/>
        <v>2.9595636510555199</v>
      </c>
      <c r="O76" s="12"/>
      <c r="P76" s="8">
        <v>4704.12</v>
      </c>
      <c r="Q76" s="3"/>
      <c r="R76" s="7">
        <f t="shared" si="56"/>
        <v>0.11019342857263328</v>
      </c>
      <c r="S76" s="3"/>
      <c r="T76" s="8">
        <v>1188.04</v>
      </c>
      <c r="U76" s="3"/>
      <c r="V76" s="7">
        <f t="shared" si="57"/>
        <v>5.8515980284521915E-2</v>
      </c>
      <c r="W76" s="3"/>
      <c r="X76" s="8">
        <f t="shared" si="58"/>
        <v>3516.08</v>
      </c>
      <c r="Y76" s="3"/>
      <c r="Z76" s="7">
        <f t="shared" si="59"/>
        <v>2.9595636510555199</v>
      </c>
    </row>
    <row r="77" spans="1:26" s="24" customFormat="1" hidden="1" outlineLevel="2" x14ac:dyDescent="0.3">
      <c r="A77" s="27"/>
      <c r="B77" s="12" t="str">
        <f>CONCATENATE("          ", "6239", " - ", "KITCHEN SUPPLIES")</f>
        <v xml:space="preserve">          6239 - KITCHEN SUPPLIES</v>
      </c>
      <c r="C77" s="12"/>
      <c r="D77" s="8">
        <v>32.03</v>
      </c>
      <c r="E77" s="3"/>
      <c r="F77" s="7">
        <f t="shared" si="52"/>
        <v>7.5029878429577572E-4</v>
      </c>
      <c r="G77" s="3"/>
      <c r="H77" s="8">
        <v>50</v>
      </c>
      <c r="I77" s="3"/>
      <c r="J77" s="7">
        <f t="shared" si="53"/>
        <v>2.4627108634609068E-3</v>
      </c>
      <c r="K77" s="3"/>
      <c r="L77" s="8">
        <f t="shared" si="54"/>
        <v>-17.97</v>
      </c>
      <c r="M77" s="3"/>
      <c r="N77" s="7">
        <f t="shared" si="55"/>
        <v>-0.3594</v>
      </c>
      <c r="O77" s="12"/>
      <c r="P77" s="8">
        <v>32.03</v>
      </c>
      <c r="Q77" s="3"/>
      <c r="R77" s="7">
        <f t="shared" si="56"/>
        <v>7.5029878429577572E-4</v>
      </c>
      <c r="S77" s="3"/>
      <c r="T77" s="8">
        <v>50</v>
      </c>
      <c r="U77" s="3"/>
      <c r="V77" s="7">
        <f t="shared" si="57"/>
        <v>2.4627108634609068E-3</v>
      </c>
      <c r="W77" s="3"/>
      <c r="X77" s="8">
        <f t="shared" si="58"/>
        <v>-17.97</v>
      </c>
      <c r="Y77" s="3"/>
      <c r="Z77" s="7">
        <f t="shared" si="59"/>
        <v>-0.3594</v>
      </c>
    </row>
    <row r="78" spans="1:26" s="24" customFormat="1" hidden="1" outlineLevel="2" x14ac:dyDescent="0.3">
      <c r="A78" s="27"/>
      <c r="B78" s="12" t="str">
        <f>CONCATENATE("          ", "6241", " - ", "OFFICE EXPENSE")</f>
        <v xml:space="preserve">          6241 - OFFICE EXPENSE</v>
      </c>
      <c r="C78" s="12"/>
      <c r="D78" s="8">
        <v>976.49</v>
      </c>
      <c r="E78" s="3"/>
      <c r="F78" s="7">
        <f t="shared" si="52"/>
        <v>2.2874157348641337E-2</v>
      </c>
      <c r="G78" s="3"/>
      <c r="H78" s="8">
        <v>-33.200000000000003</v>
      </c>
      <c r="I78" s="3"/>
      <c r="J78" s="7">
        <f t="shared" si="53"/>
        <v>-1.6352400133380423E-3</v>
      </c>
      <c r="K78" s="3"/>
      <c r="L78" s="8">
        <f t="shared" si="54"/>
        <v>1009.69</v>
      </c>
      <c r="M78" s="3"/>
      <c r="N78" s="7">
        <f t="shared" si="55"/>
        <v>-30.412349397590361</v>
      </c>
      <c r="O78" s="12"/>
      <c r="P78" s="8">
        <v>976.49</v>
      </c>
      <c r="Q78" s="3"/>
      <c r="R78" s="7">
        <f t="shared" si="56"/>
        <v>2.2874157348641337E-2</v>
      </c>
      <c r="S78" s="3"/>
      <c r="T78" s="8">
        <v>-33.200000000000003</v>
      </c>
      <c r="U78" s="3"/>
      <c r="V78" s="7">
        <f t="shared" si="57"/>
        <v>-1.6352400133380423E-3</v>
      </c>
      <c r="W78" s="3"/>
      <c r="X78" s="8">
        <f t="shared" si="58"/>
        <v>1009.69</v>
      </c>
      <c r="Y78" s="3"/>
      <c r="Z78" s="7">
        <f t="shared" si="59"/>
        <v>-30.412349397590361</v>
      </c>
    </row>
    <row r="79" spans="1:26" s="24" customFormat="1" hidden="1" outlineLevel="2" x14ac:dyDescent="0.3">
      <c r="A79" s="27"/>
      <c r="B79" s="12" t="str">
        <f>CONCATENATE("          ", "6243", " - ", "PAPER SUPPLIES")</f>
        <v xml:space="preserve">          6243 - PAPER SUPPLIES</v>
      </c>
      <c r="C79" s="12"/>
      <c r="D79" s="8">
        <v>1228.45</v>
      </c>
      <c r="E79" s="3"/>
      <c r="F79" s="7">
        <f t="shared" si="52"/>
        <v>2.8776289152923684E-2</v>
      </c>
      <c r="G79" s="3"/>
      <c r="H79" s="8">
        <v>647.88</v>
      </c>
      <c r="I79" s="3"/>
      <c r="J79" s="7">
        <f t="shared" si="53"/>
        <v>3.1910822284381045E-2</v>
      </c>
      <c r="K79" s="3"/>
      <c r="L79" s="8">
        <f t="shared" si="54"/>
        <v>580.57000000000005</v>
      </c>
      <c r="M79" s="3"/>
      <c r="N79" s="7">
        <f t="shared" si="55"/>
        <v>0.89610730382169546</v>
      </c>
      <c r="O79" s="12"/>
      <c r="P79" s="8">
        <v>1228.45</v>
      </c>
      <c r="Q79" s="3"/>
      <c r="R79" s="7">
        <f t="shared" si="56"/>
        <v>2.8776289152923684E-2</v>
      </c>
      <c r="S79" s="3"/>
      <c r="T79" s="8">
        <v>647.88</v>
      </c>
      <c r="U79" s="3"/>
      <c r="V79" s="7">
        <f t="shared" si="57"/>
        <v>3.1910822284381045E-2</v>
      </c>
      <c r="W79" s="3"/>
      <c r="X79" s="8">
        <f t="shared" si="58"/>
        <v>580.57000000000005</v>
      </c>
      <c r="Y79" s="3"/>
      <c r="Z79" s="7">
        <f t="shared" si="59"/>
        <v>0.89610730382169546</v>
      </c>
    </row>
    <row r="80" spans="1:26" s="29" customFormat="1" outlineLevel="1" collapsed="1" x14ac:dyDescent="0.3">
      <c r="A80" s="28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SUM(OSRRefD22_16x_0)</f>
        <v>1022.55</v>
      </c>
      <c r="E80" s="1"/>
      <c r="F80" s="5">
        <f t="shared" ref="F80:F85" si="60">IF(D$12=0,0,D80/D$12)</f>
        <v>2.3953107145852182E-2</v>
      </c>
      <c r="G80" s="1"/>
      <c r="H80" s="1">
        <f>SUM(OSRRefH22_16x_0)</f>
        <v>1836.32</v>
      </c>
      <c r="I80" s="1"/>
      <c r="J80" s="5">
        <f t="shared" ref="J80:J85" si="61">IF(H$12=0,0,H80/H$12)</f>
        <v>9.0446504255810647E-2</v>
      </c>
      <c r="K80" s="1"/>
      <c r="L80" s="1">
        <f t="shared" ref="L80:L85" si="62">+D80-H80</f>
        <v>-813.77</v>
      </c>
      <c r="M80" s="1"/>
      <c r="N80" s="5">
        <f t="shared" ref="N80:N85" si="63">IF(H80=0,0,L80/H80)</f>
        <v>-0.44315260956696001</v>
      </c>
      <c r="O80" s="14"/>
      <c r="P80" s="1">
        <f>SUM(OSRRefP22_16x_0)</f>
        <v>1022.55</v>
      </c>
      <c r="Q80" s="1"/>
      <c r="R80" s="5">
        <f t="shared" ref="R80:R85" si="64">IF(P$12=0,0,P80/P$12)</f>
        <v>2.3953107145852182E-2</v>
      </c>
      <c r="S80" s="1"/>
      <c r="T80" s="1">
        <f>SUM(OSRRefT22_16x_0)</f>
        <v>1836.32</v>
      </c>
      <c r="U80" s="1"/>
      <c r="V80" s="5">
        <f t="shared" ref="V80:V85" si="65">IF(T$12=0,0,T80/T$12)</f>
        <v>9.0446504255810647E-2</v>
      </c>
      <c r="W80" s="1"/>
      <c r="X80" s="1">
        <f t="shared" ref="X80:X85" si="66">+P80-T80</f>
        <v>-813.77</v>
      </c>
      <c r="Y80" s="1"/>
      <c r="Z80" s="5">
        <f t="shared" ref="Z80:Z85" si="67">IF(T80=0,0,X80/T80)</f>
        <v>-0.44315260956696001</v>
      </c>
    </row>
    <row r="81" spans="1:26" s="24" customFormat="1" hidden="1" outlineLevel="2" x14ac:dyDescent="0.3">
      <c r="A81" s="27"/>
      <c r="B81" s="12" t="str">
        <f>CONCATENATE("          ", "6309", " - ", "TELEPHONE")</f>
        <v xml:space="preserve">          6309 - TELEPHONE</v>
      </c>
      <c r="C81" s="12"/>
      <c r="D81" s="8">
        <v>1022.55</v>
      </c>
      <c r="E81" s="3"/>
      <c r="F81" s="7">
        <f t="shared" si="60"/>
        <v>2.3953107145852182E-2</v>
      </c>
      <c r="G81" s="3"/>
      <c r="H81" s="8">
        <v>1836.32</v>
      </c>
      <c r="I81" s="3"/>
      <c r="J81" s="7">
        <f t="shared" si="61"/>
        <v>9.0446504255810647E-2</v>
      </c>
      <c r="K81" s="3"/>
      <c r="L81" s="8">
        <f t="shared" si="62"/>
        <v>-813.77</v>
      </c>
      <c r="M81" s="3"/>
      <c r="N81" s="7">
        <f t="shared" si="63"/>
        <v>-0.44315260956696001</v>
      </c>
      <c r="O81" s="12"/>
      <c r="P81" s="8">
        <v>1022.55</v>
      </c>
      <c r="Q81" s="3"/>
      <c r="R81" s="7">
        <f t="shared" si="64"/>
        <v>2.3953107145852182E-2</v>
      </c>
      <c r="S81" s="3"/>
      <c r="T81" s="8">
        <v>1836.32</v>
      </c>
      <c r="U81" s="3"/>
      <c r="V81" s="7">
        <f t="shared" si="65"/>
        <v>9.0446504255810647E-2</v>
      </c>
      <c r="W81" s="3"/>
      <c r="X81" s="8">
        <f t="shared" si="66"/>
        <v>-813.77</v>
      </c>
      <c r="Y81" s="3"/>
      <c r="Z81" s="7">
        <f t="shared" si="67"/>
        <v>-0.44315260956696001</v>
      </c>
    </row>
    <row r="82" spans="1:26" s="29" customFormat="1" outlineLevel="1" collapsed="1" x14ac:dyDescent="0.3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SUM(OSRRefD22_17x_0)</f>
        <v>0</v>
      </c>
      <c r="E82" s="1"/>
      <c r="F82" s="5">
        <f t="shared" si="60"/>
        <v>0</v>
      </c>
      <c r="G82" s="1"/>
      <c r="H82" s="1">
        <f>SUM(OSRRefH22_17x_0)</f>
        <v>179.69</v>
      </c>
      <c r="I82" s="1"/>
      <c r="J82" s="5">
        <f t="shared" si="61"/>
        <v>8.8504903011058077E-3</v>
      </c>
      <c r="K82" s="1"/>
      <c r="L82" s="1">
        <f t="shared" si="62"/>
        <v>-179.69</v>
      </c>
      <c r="M82" s="1"/>
      <c r="N82" s="5">
        <f t="shared" si="63"/>
        <v>-1</v>
      </c>
      <c r="O82" s="14"/>
      <c r="P82" s="1">
        <f>SUM(OSRRefP22_17x_0)</f>
        <v>0</v>
      </c>
      <c r="Q82" s="1"/>
      <c r="R82" s="5">
        <f t="shared" si="64"/>
        <v>0</v>
      </c>
      <c r="S82" s="1"/>
      <c r="T82" s="1">
        <f>SUM(OSRRefT22_17x_0)</f>
        <v>179.69</v>
      </c>
      <c r="U82" s="1"/>
      <c r="V82" s="5">
        <f t="shared" si="65"/>
        <v>8.8504903011058077E-3</v>
      </c>
      <c r="W82" s="1"/>
      <c r="X82" s="1">
        <f t="shared" si="66"/>
        <v>-179.69</v>
      </c>
      <c r="Y82" s="1"/>
      <c r="Z82" s="5">
        <f t="shared" si="67"/>
        <v>-1</v>
      </c>
    </row>
    <row r="83" spans="1:26" s="24" customFormat="1" hidden="1" outlineLevel="2" x14ac:dyDescent="0.3">
      <c r="A83" s="27"/>
      <c r="B83" s="12" t="str">
        <f>CONCATENATE("          ", "6298", " - ", "VEHICLE MILEAGE")</f>
        <v xml:space="preserve">          6298 - VEHICLE MILEAGE</v>
      </c>
      <c r="C83" s="12"/>
      <c r="D83" s="8"/>
      <c r="E83" s="3"/>
      <c r="F83" s="7">
        <f t="shared" si="60"/>
        <v>0</v>
      </c>
      <c r="G83" s="3"/>
      <c r="H83" s="8">
        <v>179.69</v>
      </c>
      <c r="I83" s="3"/>
      <c r="J83" s="7">
        <f t="shared" si="61"/>
        <v>8.8504903011058077E-3</v>
      </c>
      <c r="K83" s="3"/>
      <c r="L83" s="8">
        <f t="shared" si="62"/>
        <v>-179.69</v>
      </c>
      <c r="M83" s="3"/>
      <c r="N83" s="7">
        <f t="shared" si="63"/>
        <v>-1</v>
      </c>
      <c r="O83" s="12"/>
      <c r="P83" s="8"/>
      <c r="Q83" s="3"/>
      <c r="R83" s="7">
        <f t="shared" si="64"/>
        <v>0</v>
      </c>
      <c r="S83" s="3"/>
      <c r="T83" s="8">
        <v>179.69</v>
      </c>
      <c r="U83" s="3"/>
      <c r="V83" s="7">
        <f t="shared" si="65"/>
        <v>8.8504903011058077E-3</v>
      </c>
      <c r="W83" s="3"/>
      <c r="X83" s="8">
        <f t="shared" si="66"/>
        <v>-179.69</v>
      </c>
      <c r="Y83" s="3"/>
      <c r="Z83" s="7">
        <f t="shared" si="67"/>
        <v>-1</v>
      </c>
    </row>
    <row r="84" spans="1:26" s="29" customFormat="1" outlineLevel="1" collapsed="1" x14ac:dyDescent="0.3">
      <c r="A84" s="28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SUM(OSRRefD22_18x_0)</f>
        <v>8150</v>
      </c>
      <c r="E84" s="1"/>
      <c r="F84" s="5">
        <f t="shared" si="60"/>
        <v>0.19091274093070781</v>
      </c>
      <c r="G84" s="1"/>
      <c r="H84" s="1">
        <f>SUM(OSRRefH22_18x_0)</f>
        <v>2300</v>
      </c>
      <c r="I84" s="1"/>
      <c r="J84" s="5">
        <f t="shared" si="61"/>
        <v>0.11328469971920171</v>
      </c>
      <c r="K84" s="1"/>
      <c r="L84" s="1">
        <f t="shared" si="62"/>
        <v>5850</v>
      </c>
      <c r="M84" s="1"/>
      <c r="N84" s="5">
        <f t="shared" si="63"/>
        <v>2.5434782608695654</v>
      </c>
      <c r="O84" s="14"/>
      <c r="P84" s="1">
        <f>SUM(OSRRefP22_18x_0)</f>
        <v>8150</v>
      </c>
      <c r="Q84" s="1"/>
      <c r="R84" s="5">
        <f t="shared" si="64"/>
        <v>0.19091274093070781</v>
      </c>
      <c r="S84" s="1"/>
      <c r="T84" s="1">
        <f>SUM(OSRRefT22_18x_0)</f>
        <v>2300</v>
      </c>
      <c r="U84" s="1"/>
      <c r="V84" s="5">
        <f t="shared" si="65"/>
        <v>0.11328469971920171</v>
      </c>
      <c r="W84" s="1"/>
      <c r="X84" s="1">
        <f t="shared" si="66"/>
        <v>5850</v>
      </c>
      <c r="Y84" s="1"/>
      <c r="Z84" s="5">
        <f t="shared" si="67"/>
        <v>2.5434782608695654</v>
      </c>
    </row>
    <row r="85" spans="1:26" s="24" customFormat="1" hidden="1" outlineLevel="2" x14ac:dyDescent="0.3">
      <c r="A85" s="27"/>
      <c r="B85" s="12" t="str">
        <f>CONCATENATE("          ", "6274", " - ", "UTILITIES")</f>
        <v xml:space="preserve">          6274 - UTILITIES</v>
      </c>
      <c r="C85" s="12"/>
      <c r="D85" s="8">
        <v>8150</v>
      </c>
      <c r="E85" s="3"/>
      <c r="F85" s="7">
        <f t="shared" si="60"/>
        <v>0.19091274093070781</v>
      </c>
      <c r="G85" s="3"/>
      <c r="H85" s="8">
        <v>2300</v>
      </c>
      <c r="I85" s="3"/>
      <c r="J85" s="7">
        <f t="shared" si="61"/>
        <v>0.11328469971920171</v>
      </c>
      <c r="K85" s="3"/>
      <c r="L85" s="8">
        <f t="shared" si="62"/>
        <v>5850</v>
      </c>
      <c r="M85" s="3"/>
      <c r="N85" s="7">
        <f t="shared" si="63"/>
        <v>2.5434782608695654</v>
      </c>
      <c r="O85" s="12"/>
      <c r="P85" s="8">
        <v>8150</v>
      </c>
      <c r="Q85" s="3"/>
      <c r="R85" s="7">
        <f t="shared" si="64"/>
        <v>0.19091274093070781</v>
      </c>
      <c r="S85" s="3"/>
      <c r="T85" s="8">
        <v>2300</v>
      </c>
      <c r="U85" s="3"/>
      <c r="V85" s="7">
        <f t="shared" si="65"/>
        <v>0.11328469971920171</v>
      </c>
      <c r="W85" s="3"/>
      <c r="X85" s="8">
        <f t="shared" si="66"/>
        <v>5850</v>
      </c>
      <c r="Y85" s="3"/>
      <c r="Z85" s="7">
        <f t="shared" si="67"/>
        <v>2.5434782608695654</v>
      </c>
    </row>
    <row r="86" spans="1:26" s="53" customFormat="1" x14ac:dyDescent="0.3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3">
      <c r="A87" s="10"/>
      <c r="B87" s="25" t="s">
        <v>292</v>
      </c>
      <c r="C87" s="10"/>
      <c r="D87" s="4">
        <f>SUM(OSRRefD25x_0)</f>
        <v>2655.42</v>
      </c>
      <c r="E87" s="4"/>
      <c r="F87" s="11">
        <f t="shared" ref="F87:F90" si="68">IF(D$12=0,0,D87/D$12)</f>
        <v>6.2202884726652787E-2</v>
      </c>
      <c r="G87" s="4"/>
      <c r="H87" s="4">
        <f>SUM(OSRRefH25x_0)</f>
        <v>2076.54</v>
      </c>
      <c r="I87" s="4"/>
      <c r="J87" s="11">
        <f t="shared" ref="J87:J90" si="69">IF(H$12=0,0,H87/H$12)</f>
        <v>0.10227835232822223</v>
      </c>
      <c r="K87" s="4"/>
      <c r="L87" s="4">
        <f t="shared" ref="L87:L90" si="70">+D87-H87</f>
        <v>578.88000000000011</v>
      </c>
      <c r="M87" s="4"/>
      <c r="N87" s="11">
        <f t="shared" ref="N87:N90" si="71">IF(H87=0,0,L87/H87)</f>
        <v>0.27877141783929044</v>
      </c>
      <c r="O87" s="10"/>
      <c r="P87" s="4">
        <f>SUM(OSRRefP25x_0)</f>
        <v>2655.42</v>
      </c>
      <c r="Q87" s="4"/>
      <c r="R87" s="11">
        <f t="shared" ref="R87:R90" si="72">IF(P$12=0,0,P87/P$12)</f>
        <v>6.2202884726652787E-2</v>
      </c>
      <c r="S87" s="4"/>
      <c r="T87" s="4">
        <f>SUM(OSRRefT25x_0)</f>
        <v>2076.54</v>
      </c>
      <c r="U87" s="4"/>
      <c r="V87" s="11">
        <f t="shared" ref="V87:V90" si="73">IF(T$12=0,0,T87/T$12)</f>
        <v>0.10227835232822223</v>
      </c>
      <c r="W87" s="4"/>
      <c r="X87" s="4">
        <f t="shared" ref="X87:X90" si="74">+P87-T87</f>
        <v>578.88000000000011</v>
      </c>
      <c r="Y87" s="4"/>
      <c r="Z87" s="11">
        <f t="shared" ref="Z87:Z90" si="75">IF(T87=0,0,X87/T87)</f>
        <v>0.27877141783929044</v>
      </c>
    </row>
    <row r="88" spans="1:26" s="24" customFormat="1" hidden="1" outlineLevel="1" x14ac:dyDescent="0.3">
      <c r="A88" s="50"/>
      <c r="B88" s="12" t="str">
        <f>CONCATENATE("          ", "9150", " - ", "MISC. INCOME")</f>
        <v xml:space="preserve">          9150 - MISC. INCOME</v>
      </c>
      <c r="C88" s="12"/>
      <c r="D88" s="3">
        <f>--1417.3</f>
        <v>1417.3</v>
      </c>
      <c r="E88" s="3"/>
      <c r="F88" s="22">
        <f t="shared" si="68"/>
        <v>3.320007702099291E-2</v>
      </c>
      <c r="G88" s="3"/>
      <c r="H88" s="3">
        <f>--512.41</f>
        <v>512.41</v>
      </c>
      <c r="I88" s="3"/>
      <c r="J88" s="22">
        <f t="shared" si="69"/>
        <v>2.5238353470920065E-2</v>
      </c>
      <c r="K88" s="3"/>
      <c r="L88" s="3">
        <f t="shared" si="70"/>
        <v>904.89</v>
      </c>
      <c r="M88" s="3"/>
      <c r="N88" s="22">
        <f t="shared" si="71"/>
        <v>1.7659491422884019</v>
      </c>
      <c r="O88" s="12"/>
      <c r="P88" s="3">
        <f>--1417.3</f>
        <v>1417.3</v>
      </c>
      <c r="Q88" s="3"/>
      <c r="R88" s="22">
        <f t="shared" si="72"/>
        <v>3.320007702099291E-2</v>
      </c>
      <c r="S88" s="3"/>
      <c r="T88" s="3">
        <f>--512.41</f>
        <v>512.41</v>
      </c>
      <c r="U88" s="3"/>
      <c r="V88" s="22">
        <f t="shared" si="73"/>
        <v>2.5238353470920065E-2</v>
      </c>
      <c r="W88" s="3"/>
      <c r="X88" s="3">
        <f t="shared" si="74"/>
        <v>904.89</v>
      </c>
      <c r="Y88" s="3"/>
      <c r="Z88" s="22">
        <f t="shared" si="75"/>
        <v>1.7659491422884019</v>
      </c>
    </row>
    <row r="89" spans="1:26" s="24" customFormat="1" hidden="1" outlineLevel="1" x14ac:dyDescent="0.3">
      <c r="A89" s="50"/>
      <c r="B89" s="12" t="str">
        <f>CONCATENATE("          ", "9160", " - ", "MISC. INCOME")</f>
        <v xml:space="preserve">          9160 - MISC. INCOME</v>
      </c>
      <c r="C89" s="12"/>
      <c r="D89" s="3">
        <f>--1238.12</f>
        <v>1238.1199999999999</v>
      </c>
      <c r="E89" s="3"/>
      <c r="F89" s="22">
        <f t="shared" si="68"/>
        <v>2.9002807705659873E-2</v>
      </c>
      <c r="G89" s="3"/>
      <c r="H89" s="3">
        <f>--1363.63</f>
        <v>1363.63</v>
      </c>
      <c r="I89" s="3"/>
      <c r="J89" s="22">
        <f t="shared" si="69"/>
        <v>6.716452829482393E-2</v>
      </c>
      <c r="K89" s="3"/>
      <c r="L89" s="3">
        <f t="shared" si="70"/>
        <v>-125.51000000000022</v>
      </c>
      <c r="M89" s="3"/>
      <c r="N89" s="22">
        <f t="shared" si="71"/>
        <v>-9.2041096191782384E-2</v>
      </c>
      <c r="O89" s="12"/>
      <c r="P89" s="3">
        <f>--1238.12</f>
        <v>1238.1199999999999</v>
      </c>
      <c r="Q89" s="3"/>
      <c r="R89" s="22">
        <f t="shared" si="72"/>
        <v>2.9002807705659873E-2</v>
      </c>
      <c r="S89" s="3"/>
      <c r="T89" s="3">
        <f>--1363.63</f>
        <v>1363.63</v>
      </c>
      <c r="U89" s="3"/>
      <c r="V89" s="22">
        <f t="shared" si="73"/>
        <v>6.716452829482393E-2</v>
      </c>
      <c r="W89" s="3"/>
      <c r="X89" s="3">
        <f t="shared" si="74"/>
        <v>-125.51000000000022</v>
      </c>
      <c r="Y89" s="3"/>
      <c r="Z89" s="22">
        <f t="shared" si="75"/>
        <v>-9.2041096191782384E-2</v>
      </c>
    </row>
    <row r="90" spans="1:26" s="24" customFormat="1" hidden="1" outlineLevel="1" x14ac:dyDescent="0.3">
      <c r="A90" s="50"/>
      <c r="B90" s="12" t="str">
        <f>CONCATENATE("          ", "9165", " - ", "OTHER INCOME")</f>
        <v xml:space="preserve">          9165 - OTHER INCOME</v>
      </c>
      <c r="C90" s="12"/>
      <c r="D90" s="3">
        <f>0</f>
        <v>0</v>
      </c>
      <c r="E90" s="3"/>
      <c r="F90" s="22">
        <f t="shared" si="68"/>
        <v>0</v>
      </c>
      <c r="G90" s="3"/>
      <c r="H90" s="3">
        <f>--200.5</f>
        <v>200.5</v>
      </c>
      <c r="I90" s="3"/>
      <c r="J90" s="22">
        <f t="shared" si="69"/>
        <v>9.8754705624782366E-3</v>
      </c>
      <c r="K90" s="3"/>
      <c r="L90" s="3">
        <f t="shared" si="70"/>
        <v>-200.5</v>
      </c>
      <c r="M90" s="3"/>
      <c r="N90" s="22">
        <f t="shared" si="71"/>
        <v>-1</v>
      </c>
      <c r="O90" s="12"/>
      <c r="P90" s="3">
        <f>0</f>
        <v>0</v>
      </c>
      <c r="Q90" s="3"/>
      <c r="R90" s="22">
        <f t="shared" si="72"/>
        <v>0</v>
      </c>
      <c r="S90" s="3"/>
      <c r="T90" s="3">
        <f>--200.5</f>
        <v>200.5</v>
      </c>
      <c r="U90" s="3"/>
      <c r="V90" s="22">
        <f t="shared" si="73"/>
        <v>9.8754705624782366E-3</v>
      </c>
      <c r="W90" s="3"/>
      <c r="X90" s="3">
        <f t="shared" si="74"/>
        <v>-200.5</v>
      </c>
      <c r="Y90" s="3"/>
      <c r="Z90" s="22">
        <f t="shared" si="75"/>
        <v>-1</v>
      </c>
    </row>
    <row r="91" spans="1:26" x14ac:dyDescent="0.3">
      <c r="A91" s="9"/>
      <c r="B91" s="10"/>
      <c r="C91" s="10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10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3">
      <c r="A92" s="10"/>
      <c r="B92" s="26" t="s">
        <v>276</v>
      </c>
      <c r="C92" s="26"/>
      <c r="D92" s="20">
        <f>+D23-D25+D87</f>
        <v>-317324.15999999997</v>
      </c>
      <c r="E92" s="13"/>
      <c r="F92" s="21">
        <f>IF(D$12=0,0,D92/D$12)</f>
        <v>-7.4332791594030034</v>
      </c>
      <c r="G92" s="13"/>
      <c r="H92" s="20">
        <f>+H23-H25+H87</f>
        <v>-302405.39999999997</v>
      </c>
      <c r="I92" s="13"/>
      <c r="J92" s="21">
        <f>IF(H$12=0,0,H92/H$12)</f>
        <v>-14.894741274984817</v>
      </c>
      <c r="K92" s="16"/>
      <c r="L92" s="20">
        <f>+D92-H92</f>
        <v>-14918.760000000009</v>
      </c>
      <c r="M92" s="16"/>
      <c r="N92" s="21">
        <f>IF(H92=0,0,L92/H92)</f>
        <v>4.9333642851615782E-2</v>
      </c>
      <c r="O92" s="25"/>
      <c r="P92" s="20">
        <f>+P23-P25+P87</f>
        <v>-317324.15999999997</v>
      </c>
      <c r="Q92" s="13"/>
      <c r="R92" s="21">
        <f>IF(P$12=0,0,P92/P$12)</f>
        <v>-7.4332791594030034</v>
      </c>
      <c r="S92" s="13"/>
      <c r="T92" s="20">
        <f>+T23-T25+T87</f>
        <v>-302405.39999999997</v>
      </c>
      <c r="U92" s="13"/>
      <c r="V92" s="21">
        <f>IF(T$12=0,0,T92/T$12)</f>
        <v>-14.894741274984817</v>
      </c>
      <c r="W92" s="16"/>
      <c r="X92" s="20">
        <f>+P92-T92</f>
        <v>-14918.760000000009</v>
      </c>
      <c r="Y92" s="16"/>
      <c r="Z92" s="21">
        <f>IF(T92=0,0,X92/T92)</f>
        <v>4.9333642851615782E-2</v>
      </c>
    </row>
    <row r="93" spans="1:26" x14ac:dyDescent="0.3">
      <c r="A93" s="9"/>
      <c r="B93" s="10"/>
      <c r="C93" s="9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x14ac:dyDescent="0.3">
      <c r="A94" s="51"/>
      <c r="B94" s="10" t="s">
        <v>127</v>
      </c>
      <c r="C94" s="10"/>
      <c r="D94" s="4">
        <v>19722.46</v>
      </c>
      <c r="E94" s="4"/>
      <c r="F94" s="11">
        <f>IF(D$12=0,0,D94/D$12)</f>
        <v>0.4619961836191715</v>
      </c>
      <c r="G94" s="4"/>
      <c r="H94" s="4">
        <v>9764.58</v>
      </c>
      <c r="I94" s="4"/>
      <c r="J94" s="11">
        <f>IF(H$12=0,0,H94/H$12)</f>
        <v>0.48094674486266203</v>
      </c>
      <c r="K94" s="4"/>
      <c r="L94" s="4">
        <f>+D94-H94</f>
        <v>9957.8799999999992</v>
      </c>
      <c r="M94" s="4"/>
      <c r="N94" s="11">
        <f>IF(H94=0,0,L94/H94)</f>
        <v>1.01979603833447</v>
      </c>
      <c r="O94" s="10"/>
      <c r="P94" s="4">
        <v>19722.46</v>
      </c>
      <c r="Q94" s="4"/>
      <c r="R94" s="11">
        <f>IF(P$12=0,0,P94/P$12)</f>
        <v>0.4619961836191715</v>
      </c>
      <c r="S94" s="4"/>
      <c r="T94" s="4">
        <v>9764.58</v>
      </c>
      <c r="U94" s="4"/>
      <c r="V94" s="11">
        <f>IF(T$12=0,0,T94/T$12)</f>
        <v>0.48094674486266203</v>
      </c>
      <c r="W94" s="4"/>
      <c r="X94" s="4">
        <f>+P94-T94</f>
        <v>9957.8799999999992</v>
      </c>
      <c r="Y94" s="4"/>
      <c r="Z94" s="11">
        <f>IF(T94=0,0,X94/T94)</f>
        <v>1.01979603833447</v>
      </c>
    </row>
    <row r="95" spans="1:26" x14ac:dyDescent="0.3">
      <c r="A95" s="9"/>
      <c r="B95" s="10"/>
      <c r="C95" s="10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O95" s="10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s="23" customFormat="1" ht="15" thickBot="1" x14ac:dyDescent="0.35">
      <c r="A96" s="10"/>
      <c r="B96" s="26" t="s">
        <v>125</v>
      </c>
      <c r="C96" s="26"/>
      <c r="D96" s="36">
        <f>+D92-D94</f>
        <v>-337046.62</v>
      </c>
      <c r="E96" s="13"/>
      <c r="F96" s="34">
        <f>IF(D$12=0,0,D96/D$12)</f>
        <v>-7.8952753430221749</v>
      </c>
      <c r="G96" s="13"/>
      <c r="H96" s="36">
        <f>+H92-H94</f>
        <v>-312169.98</v>
      </c>
      <c r="I96" s="13"/>
      <c r="J96" s="34">
        <f>IF(H$12=0,0,H96/H$12)</f>
        <v>-15.37568801984748</v>
      </c>
      <c r="K96" s="16"/>
      <c r="L96" s="36">
        <f>D96-H96</f>
        <v>-24876.640000000014</v>
      </c>
      <c r="M96" s="16"/>
      <c r="N96" s="34">
        <f>IF(H96=0,0,L96/H96)</f>
        <v>7.9689405111920159E-2</v>
      </c>
      <c r="O96" s="25"/>
      <c r="P96" s="36">
        <f>+P92-P94</f>
        <v>-337046.62</v>
      </c>
      <c r="Q96" s="13"/>
      <c r="R96" s="34">
        <f>IF(P$12=0,0,P96/P$12)</f>
        <v>-7.8952753430221749</v>
      </c>
      <c r="S96" s="13"/>
      <c r="T96" s="36">
        <f>+T92-T94</f>
        <v>-312169.98</v>
      </c>
      <c r="U96" s="13"/>
      <c r="V96" s="34">
        <f>IF(T$12=0,0,T96/T$12)</f>
        <v>-15.37568801984748</v>
      </c>
      <c r="W96" s="16"/>
      <c r="X96" s="36">
        <f>P96-T96</f>
        <v>-24876.640000000014</v>
      </c>
      <c r="Y96" s="16"/>
      <c r="Z96" s="34">
        <f>IF(T96=0,0,X96/T96)</f>
        <v>7.9689405111920159E-2</v>
      </c>
    </row>
    <row r="97" spans="1:26" ht="15" thickTop="1" x14ac:dyDescent="0.3">
      <c r="A97" s="9"/>
      <c r="B97" s="9"/>
      <c r="C97" s="9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x14ac:dyDescent="0.3">
      <c r="A98" s="9"/>
      <c r="B98" s="9"/>
      <c r="C98" s="9"/>
      <c r="D98" s="2"/>
      <c r="E98" s="2"/>
      <c r="F98" s="6"/>
      <c r="G98" s="2"/>
      <c r="H98" s="2"/>
      <c r="I98" s="2"/>
      <c r="J98" s="6"/>
      <c r="K98" s="2"/>
      <c r="L98" s="2"/>
      <c r="M98" s="2"/>
      <c r="N98" s="6"/>
      <c r="P98" s="2"/>
      <c r="Q98" s="2"/>
      <c r="R98" s="6"/>
      <c r="S98" s="2"/>
      <c r="T98" s="2"/>
      <c r="U98" s="2"/>
      <c r="V98" s="6"/>
      <c r="W98" s="2"/>
      <c r="X98" s="2"/>
      <c r="Y98" s="2"/>
      <c r="Z98" s="6"/>
    </row>
    <row r="99" spans="1:26" s="23" customFormat="1" ht="15" thickBot="1" x14ac:dyDescent="0.35">
      <c r="A99" s="10"/>
      <c r="B99" s="26" t="s">
        <v>293</v>
      </c>
      <c r="C99" s="26"/>
      <c r="D99" s="31">
        <f>SUM(D96:D98)</f>
        <v>-337046.62</v>
      </c>
      <c r="E99" s="13"/>
      <c r="F99" s="33">
        <f>IF(D$12=0,0,D99/D$12)</f>
        <v>-7.8952753430221749</v>
      </c>
      <c r="G99" s="13"/>
      <c r="H99" s="31">
        <f>SUM(H96:H98)</f>
        <v>-312169.98</v>
      </c>
      <c r="I99" s="13"/>
      <c r="J99" s="33">
        <f>IF(H$12=0,0,H99/H$12)</f>
        <v>-15.37568801984748</v>
      </c>
      <c r="K99" s="16"/>
      <c r="L99" s="31">
        <f>+D99-H99</f>
        <v>-24876.640000000014</v>
      </c>
      <c r="M99" s="16"/>
      <c r="N99" s="33">
        <f>IF(H99=0,0,L99/H99)</f>
        <v>7.9689405111920159E-2</v>
      </c>
      <c r="O99" s="25"/>
      <c r="P99" s="31">
        <f>SUM(P96:P98)</f>
        <v>-337046.62</v>
      </c>
      <c r="Q99" s="13"/>
      <c r="R99" s="33">
        <f>IF(P$12=0,0,P99/P$12)</f>
        <v>-7.8952753430221749</v>
      </c>
      <c r="S99" s="13"/>
      <c r="T99" s="31">
        <f>SUM(T96:T98)</f>
        <v>-312169.98</v>
      </c>
      <c r="U99" s="13"/>
      <c r="V99" s="33">
        <f>IF(T$12=0,0,T99/T$12)</f>
        <v>-15.37568801984748</v>
      </c>
      <c r="W99" s="16"/>
      <c r="X99" s="31">
        <f>+P99-T99</f>
        <v>-24876.640000000014</v>
      </c>
      <c r="Y99" s="16"/>
      <c r="Z99" s="33">
        <f>IF(T99=0,0,X99/T99)</f>
        <v>7.9689405111920159E-2</v>
      </c>
    </row>
    <row r="100" spans="1:26" ht="15" thickTop="1" x14ac:dyDescent="0.3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59">
        <v>44462.666916354166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A102" s="9"/>
      <c r="B102" s="57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3">
      <c r="A103" s="9"/>
      <c r="B103" s="61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3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55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19702.309999999998</v>
      </c>
      <c r="E12" s="4"/>
      <c r="F12" s="11"/>
      <c r="G12" s="4"/>
      <c r="H12" s="4">
        <f>SUM(OSRRefH13x_0)</f>
        <v>974.91</v>
      </c>
      <c r="I12" s="4"/>
      <c r="J12" s="11"/>
      <c r="K12" s="4"/>
      <c r="L12" s="4">
        <f t="shared" ref="L12:L19" si="0">+D12-H12</f>
        <v>18727.399999999998</v>
      </c>
      <c r="M12" s="4"/>
      <c r="N12" s="11">
        <f t="shared" ref="N12:N19" si="1">IF(H12=0,0,L12/H12)</f>
        <v>19.209362915551178</v>
      </c>
      <c r="O12" s="10"/>
      <c r="P12" s="4">
        <f>SUM(OSRRefP13x_0)</f>
        <v>19702.309999999998</v>
      </c>
      <c r="Q12" s="4"/>
      <c r="R12" s="11"/>
      <c r="S12" s="4"/>
      <c r="T12" s="4">
        <f>SUM(OSRRefT13x_0)</f>
        <v>974.91</v>
      </c>
      <c r="U12" s="4"/>
      <c r="V12" s="11"/>
      <c r="W12" s="4"/>
      <c r="X12" s="4">
        <f t="shared" ref="X12:X19" si="2">+P12-T12</f>
        <v>18727.399999999998</v>
      </c>
      <c r="Y12" s="4"/>
      <c r="Z12" s="11">
        <f t="shared" ref="Z12:Z19" si="3">IF(T12=0,0,X12/T12)</f>
        <v>19.209362915551178</v>
      </c>
    </row>
    <row r="13" spans="1:26" s="24" customFormat="1" hidden="1" outlineLevel="1" x14ac:dyDescent="0.3">
      <c r="A13" s="50"/>
      <c r="B13" s="12" t="str">
        <f>CONCATENATE("          ", "4034", " - ", "TAXABLE SALES-SODA")</f>
        <v xml:space="preserve">          4034 - TAXABLE SALES-SODA</v>
      </c>
      <c r="C13" s="12"/>
      <c r="D13" s="3">
        <f>0</f>
        <v>0</v>
      </c>
      <c r="E13" s="3"/>
      <c r="F13" s="22"/>
      <c r="G13" s="3"/>
      <c r="H13" s="3">
        <f t="shared" ref="H13:H14" si="4">0</f>
        <v>0</v>
      </c>
      <c r="I13" s="3"/>
      <c r="J13" s="22"/>
      <c r="K13" s="3"/>
      <c r="L13" s="3">
        <f t="shared" si="0"/>
        <v>0</v>
      </c>
      <c r="M13" s="3"/>
      <c r="N13" s="22">
        <f t="shared" si="1"/>
        <v>0</v>
      </c>
      <c r="O13" s="12"/>
      <c r="P13" s="3">
        <f>0</f>
        <v>0</v>
      </c>
      <c r="Q13" s="3"/>
      <c r="R13" s="22"/>
      <c r="S13" s="3"/>
      <c r="T13" s="3">
        <f t="shared" ref="T13:T14" si="5">0</f>
        <v>0</v>
      </c>
      <c r="U13" s="3"/>
      <c r="V13" s="22"/>
      <c r="W13" s="3"/>
      <c r="X13" s="3">
        <f t="shared" si="2"/>
        <v>0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"4051", " - ", "TAXABLE SALES-FOOD")</f>
        <v xml:space="preserve">          4051 - TAXABLE SALES-FOOD</v>
      </c>
      <c r="C14" s="12"/>
      <c r="D14" s="3">
        <f>--10630.93</f>
        <v>10630.93</v>
      </c>
      <c r="E14" s="3"/>
      <c r="F14" s="22"/>
      <c r="G14" s="3"/>
      <c r="H14" s="3">
        <f t="shared" si="4"/>
        <v>0</v>
      </c>
      <c r="I14" s="3"/>
      <c r="J14" s="22"/>
      <c r="K14" s="3"/>
      <c r="L14" s="3">
        <f t="shared" si="0"/>
        <v>10630.93</v>
      </c>
      <c r="M14" s="3"/>
      <c r="N14" s="22">
        <f t="shared" si="1"/>
        <v>0</v>
      </c>
      <c r="O14" s="12"/>
      <c r="P14" s="3">
        <f>--10630.93</f>
        <v>10630.93</v>
      </c>
      <c r="Q14" s="3"/>
      <c r="R14" s="22"/>
      <c r="S14" s="3"/>
      <c r="T14" s="3">
        <f t="shared" si="5"/>
        <v>0</v>
      </c>
      <c r="U14" s="3"/>
      <c r="V14" s="22"/>
      <c r="W14" s="3"/>
      <c r="X14" s="3">
        <f t="shared" si="2"/>
        <v>10630.93</v>
      </c>
      <c r="Y14" s="3"/>
      <c r="Z14" s="22">
        <f t="shared" si="3"/>
        <v>0</v>
      </c>
    </row>
    <row r="15" spans="1:26" s="24" customFormat="1" hidden="1" outlineLevel="1" x14ac:dyDescent="0.3">
      <c r="A15" s="50"/>
      <c r="B15" s="12" t="str">
        <f>CONCATENATE("          ", "4058", " - ", "TAXABLE SALES-FOOD")</f>
        <v xml:space="preserve">          4058 - TAXABLE SALES-FOOD</v>
      </c>
      <c r="C15" s="12"/>
      <c r="D15" s="3">
        <f t="shared" ref="D15:D18" si="6">0</f>
        <v>0</v>
      </c>
      <c r="E15" s="3"/>
      <c r="F15" s="22"/>
      <c r="G15" s="3"/>
      <c r="H15" s="3">
        <f>--974.91</f>
        <v>974.91</v>
      </c>
      <c r="I15" s="3"/>
      <c r="J15" s="22"/>
      <c r="K15" s="3"/>
      <c r="L15" s="3">
        <f t="shared" si="0"/>
        <v>-974.91</v>
      </c>
      <c r="M15" s="3"/>
      <c r="N15" s="22">
        <f t="shared" si="1"/>
        <v>-1</v>
      </c>
      <c r="O15" s="12"/>
      <c r="P15" s="3">
        <f t="shared" ref="P15:P18" si="7">0</f>
        <v>0</v>
      </c>
      <c r="Q15" s="3"/>
      <c r="R15" s="22"/>
      <c r="S15" s="3"/>
      <c r="T15" s="3">
        <f>--974.91</f>
        <v>974.91</v>
      </c>
      <c r="U15" s="3"/>
      <c r="V15" s="22"/>
      <c r="W15" s="3"/>
      <c r="X15" s="3">
        <f t="shared" si="2"/>
        <v>-974.91</v>
      </c>
      <c r="Y15" s="3"/>
      <c r="Z15" s="22">
        <f t="shared" si="3"/>
        <v>-1</v>
      </c>
    </row>
    <row r="16" spans="1:26" s="24" customFormat="1" hidden="1" outlineLevel="1" x14ac:dyDescent="0.3">
      <c r="A16" s="50"/>
      <c r="B16" s="12" t="str">
        <f>CONCATENATE("          ", "4132", " - ", "NON-TAXABLE SALES-JUICE")</f>
        <v xml:space="preserve">          4132 - NON-TAXABLE SALES-JUICE</v>
      </c>
      <c r="C16" s="12"/>
      <c r="D16" s="3">
        <f t="shared" si="6"/>
        <v>0</v>
      </c>
      <c r="E16" s="3"/>
      <c r="F16" s="22"/>
      <c r="G16" s="3"/>
      <c r="H16" s="3">
        <f t="shared" ref="H16:H19" si="8">0</f>
        <v>0</v>
      </c>
      <c r="I16" s="3"/>
      <c r="J16" s="22"/>
      <c r="K16" s="3"/>
      <c r="L16" s="3">
        <f t="shared" si="0"/>
        <v>0</v>
      </c>
      <c r="M16" s="3"/>
      <c r="N16" s="22">
        <f t="shared" si="1"/>
        <v>0</v>
      </c>
      <c r="O16" s="12"/>
      <c r="P16" s="3">
        <f t="shared" si="7"/>
        <v>0</v>
      </c>
      <c r="Q16" s="3"/>
      <c r="R16" s="22"/>
      <c r="S16" s="3"/>
      <c r="T16" s="3">
        <f t="shared" ref="T16:T19" si="9">0</f>
        <v>0</v>
      </c>
      <c r="U16" s="3"/>
      <c r="V16" s="22"/>
      <c r="W16" s="3"/>
      <c r="X16" s="3">
        <f t="shared" si="2"/>
        <v>0</v>
      </c>
      <c r="Y16" s="3"/>
      <c r="Z16" s="22">
        <f t="shared" si="3"/>
        <v>0</v>
      </c>
    </row>
    <row r="17" spans="1:26" s="24" customFormat="1" hidden="1" outlineLevel="1" x14ac:dyDescent="0.3">
      <c r="A17" s="50"/>
      <c r="B17" s="12" t="str">
        <f>CONCATENATE("          ", "4134", " - ", "NON-TAXABLE SALES-SODA")</f>
        <v xml:space="preserve">          4134 - NON-TAXABLE SALES-SODA</v>
      </c>
      <c r="C17" s="12"/>
      <c r="D17" s="3">
        <f t="shared" si="6"/>
        <v>0</v>
      </c>
      <c r="E17" s="3"/>
      <c r="F17" s="22"/>
      <c r="G17" s="3"/>
      <c r="H17" s="3">
        <f t="shared" si="8"/>
        <v>0</v>
      </c>
      <c r="I17" s="3"/>
      <c r="J17" s="22"/>
      <c r="K17" s="3"/>
      <c r="L17" s="3">
        <f t="shared" si="0"/>
        <v>0</v>
      </c>
      <c r="M17" s="3"/>
      <c r="N17" s="22">
        <f t="shared" si="1"/>
        <v>0</v>
      </c>
      <c r="O17" s="12"/>
      <c r="P17" s="3">
        <f t="shared" si="7"/>
        <v>0</v>
      </c>
      <c r="Q17" s="3"/>
      <c r="R17" s="22"/>
      <c r="S17" s="3"/>
      <c r="T17" s="3">
        <f t="shared" si="9"/>
        <v>0</v>
      </c>
      <c r="U17" s="3"/>
      <c r="V17" s="22"/>
      <c r="W17" s="3"/>
      <c r="X17" s="3">
        <f t="shared" si="2"/>
        <v>0</v>
      </c>
      <c r="Y17" s="3"/>
      <c r="Z17" s="22">
        <f t="shared" si="3"/>
        <v>0</v>
      </c>
    </row>
    <row r="18" spans="1:26" s="24" customFormat="1" hidden="1" outlineLevel="1" x14ac:dyDescent="0.3">
      <c r="A18" s="50"/>
      <c r="B18" s="12" t="str">
        <f>CONCATENATE("          ", "4137", " - ", "NON-TAXABLE SALES-WATER")</f>
        <v xml:space="preserve">          4137 - NON-TAXABLE SALES-WATER</v>
      </c>
      <c r="C18" s="12"/>
      <c r="D18" s="3">
        <f t="shared" si="6"/>
        <v>0</v>
      </c>
      <c r="E18" s="3"/>
      <c r="F18" s="22"/>
      <c r="G18" s="3"/>
      <c r="H18" s="3">
        <f t="shared" si="8"/>
        <v>0</v>
      </c>
      <c r="I18" s="3"/>
      <c r="J18" s="22"/>
      <c r="K18" s="3"/>
      <c r="L18" s="3">
        <f t="shared" si="0"/>
        <v>0</v>
      </c>
      <c r="M18" s="3"/>
      <c r="N18" s="22">
        <f t="shared" si="1"/>
        <v>0</v>
      </c>
      <c r="O18" s="12"/>
      <c r="P18" s="3">
        <f t="shared" si="7"/>
        <v>0</v>
      </c>
      <c r="Q18" s="3"/>
      <c r="R18" s="22"/>
      <c r="S18" s="3"/>
      <c r="T18" s="3">
        <f t="shared" si="9"/>
        <v>0</v>
      </c>
      <c r="U18" s="3"/>
      <c r="V18" s="22"/>
      <c r="W18" s="3"/>
      <c r="X18" s="3">
        <f t="shared" si="2"/>
        <v>0</v>
      </c>
      <c r="Y18" s="3"/>
      <c r="Z18" s="22">
        <f t="shared" si="3"/>
        <v>0</v>
      </c>
    </row>
    <row r="19" spans="1:26" s="24" customFormat="1" hidden="1" outlineLevel="1" x14ac:dyDescent="0.3">
      <c r="A19" s="50"/>
      <c r="B19" s="12" t="str">
        <f>CONCATENATE("          ", "4151", " - ", "NON-TAXABLE SALES-FOOD")</f>
        <v xml:space="preserve">          4151 - NON-TAXABLE SALES-FOOD</v>
      </c>
      <c r="C19" s="12"/>
      <c r="D19" s="3">
        <f>--9071.38</f>
        <v>9071.3799999999992</v>
      </c>
      <c r="E19" s="3"/>
      <c r="F19" s="22"/>
      <c r="G19" s="3"/>
      <c r="H19" s="3">
        <f t="shared" si="8"/>
        <v>0</v>
      </c>
      <c r="I19" s="3"/>
      <c r="J19" s="22"/>
      <c r="K19" s="3"/>
      <c r="L19" s="3">
        <f t="shared" si="0"/>
        <v>9071.3799999999992</v>
      </c>
      <c r="M19" s="3"/>
      <c r="N19" s="22">
        <f t="shared" si="1"/>
        <v>0</v>
      </c>
      <c r="O19" s="12"/>
      <c r="P19" s="3">
        <f>--9071.38</f>
        <v>9071.3799999999992</v>
      </c>
      <c r="Q19" s="3"/>
      <c r="R19" s="22"/>
      <c r="S19" s="3"/>
      <c r="T19" s="3">
        <f t="shared" si="9"/>
        <v>0</v>
      </c>
      <c r="U19" s="3"/>
      <c r="V19" s="22"/>
      <c r="W19" s="3"/>
      <c r="X19" s="3">
        <f t="shared" si="2"/>
        <v>9071.3799999999992</v>
      </c>
      <c r="Y19" s="3"/>
      <c r="Z19" s="22">
        <f t="shared" si="3"/>
        <v>0</v>
      </c>
    </row>
    <row r="20" spans="1:26" x14ac:dyDescent="0.3">
      <c r="A20" s="9"/>
      <c r="B20" s="10"/>
      <c r="C20" s="9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collapsed="1" x14ac:dyDescent="0.3">
      <c r="A21" s="10"/>
      <c r="B21" s="25" t="s">
        <v>256</v>
      </c>
      <c r="C21" s="10"/>
      <c r="D21" s="4">
        <f>SUM(OSRRefD16x_0)</f>
        <v>5059.3799999999992</v>
      </c>
      <c r="E21" s="4"/>
      <c r="F21" s="11">
        <f t="shared" ref="F21:F23" si="10">IF(D$12=0,0,D21/D$12)</f>
        <v>0.25679120874658856</v>
      </c>
      <c r="G21" s="4"/>
      <c r="H21" s="4">
        <f>SUM(OSRRefH16x_0)</f>
        <v>-226.87</v>
      </c>
      <c r="I21" s="4"/>
      <c r="J21" s="11">
        <f t="shared" ref="J21:J23" si="11">IF(H$12=0,0,H21/H$12)</f>
        <v>-0.23270866028659057</v>
      </c>
      <c r="K21" s="4"/>
      <c r="L21" s="4">
        <f t="shared" ref="L21:L23" si="12">+D21-H21</f>
        <v>5286.2499999999991</v>
      </c>
      <c r="M21" s="4"/>
      <c r="N21" s="11">
        <f t="shared" ref="N21:N23" si="13">IF(H21=0,0,L21/H21)</f>
        <v>-23.300788998104636</v>
      </c>
      <c r="O21" s="10"/>
      <c r="P21" s="4">
        <f>SUM(OSRRefP16x_0)</f>
        <v>5059.3799999999992</v>
      </c>
      <c r="Q21" s="4"/>
      <c r="R21" s="11">
        <f t="shared" ref="R21:R23" si="14">IF(P$12=0,0,P21/P$12)</f>
        <v>0.25679120874658856</v>
      </c>
      <c r="S21" s="4"/>
      <c r="T21" s="4">
        <f>SUM(OSRRefT16x_0)</f>
        <v>-226.87</v>
      </c>
      <c r="U21" s="4"/>
      <c r="V21" s="11">
        <f t="shared" ref="V21:V23" si="15">IF(T$12=0,0,T21/T$12)</f>
        <v>-0.23270866028659057</v>
      </c>
      <c r="W21" s="4"/>
      <c r="X21" s="4">
        <f t="shared" ref="X21:X23" si="16">+P21-T21</f>
        <v>5286.2499999999991</v>
      </c>
      <c r="Y21" s="4"/>
      <c r="Z21" s="11">
        <f t="shared" ref="Z21:Z23" si="17">IF(T21=0,0,X21/T21)</f>
        <v>-23.300788998104636</v>
      </c>
    </row>
    <row r="22" spans="1:26" s="24" customFormat="1" hidden="1" outlineLevel="1" x14ac:dyDescent="0.3">
      <c r="A22" s="50"/>
      <c r="B22" s="12" t="str">
        <f>CONCATENATE("          ", "5053", " - ", "PURCHASES @ COST-FOOD")</f>
        <v xml:space="preserve">          5053 - PURCHASES @ COST-FOOD</v>
      </c>
      <c r="C22" s="12"/>
      <c r="D22" s="3">
        <v>8224.3799999999992</v>
      </c>
      <c r="E22" s="3"/>
      <c r="F22" s="22">
        <f t="shared" si="10"/>
        <v>0.41743227063222538</v>
      </c>
      <c r="G22" s="3"/>
      <c r="H22" s="3">
        <v>-226.87</v>
      </c>
      <c r="I22" s="3"/>
      <c r="J22" s="22">
        <f t="shared" si="11"/>
        <v>-0.23270866028659057</v>
      </c>
      <c r="K22" s="3"/>
      <c r="L22" s="3">
        <f t="shared" si="12"/>
        <v>8451.25</v>
      </c>
      <c r="M22" s="3"/>
      <c r="N22" s="22">
        <f t="shared" si="13"/>
        <v>-37.251509675144355</v>
      </c>
      <c r="O22" s="12"/>
      <c r="P22" s="3">
        <v>8224.3799999999992</v>
      </c>
      <c r="Q22" s="3"/>
      <c r="R22" s="22">
        <f t="shared" si="14"/>
        <v>0.41743227063222538</v>
      </c>
      <c r="S22" s="3"/>
      <c r="T22" s="3">
        <v>-226.87</v>
      </c>
      <c r="U22" s="3"/>
      <c r="V22" s="22">
        <f t="shared" si="15"/>
        <v>-0.23270866028659057</v>
      </c>
      <c r="W22" s="3"/>
      <c r="X22" s="3">
        <f t="shared" si="16"/>
        <v>8451.25</v>
      </c>
      <c r="Y22" s="3"/>
      <c r="Z22" s="22">
        <f t="shared" si="17"/>
        <v>-37.251509675144355</v>
      </c>
    </row>
    <row r="23" spans="1:26" s="24" customFormat="1" hidden="1" outlineLevel="1" x14ac:dyDescent="0.3">
      <c r="A23" s="50"/>
      <c r="B23" s="12" t="str">
        <f>CONCATENATE("          ", "5059", " - ", "PURCHASES @ COST-FOOD")</f>
        <v xml:space="preserve">          5059 - PURCHASES @ COST-FOOD</v>
      </c>
      <c r="C23" s="12"/>
      <c r="D23" s="3">
        <v>-3165</v>
      </c>
      <c r="E23" s="3"/>
      <c r="F23" s="22">
        <f t="shared" si="10"/>
        <v>-0.16064106188563679</v>
      </c>
      <c r="G23" s="3"/>
      <c r="H23" s="3"/>
      <c r="I23" s="3"/>
      <c r="J23" s="22">
        <f t="shared" si="11"/>
        <v>0</v>
      </c>
      <c r="K23" s="3"/>
      <c r="L23" s="3">
        <f t="shared" si="12"/>
        <v>-3165</v>
      </c>
      <c r="M23" s="3"/>
      <c r="N23" s="22">
        <f t="shared" si="13"/>
        <v>0</v>
      </c>
      <c r="O23" s="12"/>
      <c r="P23" s="3">
        <v>-3165</v>
      </c>
      <c r="Q23" s="3"/>
      <c r="R23" s="22">
        <f t="shared" si="14"/>
        <v>-0.16064106188563679</v>
      </c>
      <c r="S23" s="3"/>
      <c r="T23" s="3"/>
      <c r="U23" s="3"/>
      <c r="V23" s="22">
        <f t="shared" si="15"/>
        <v>0</v>
      </c>
      <c r="W23" s="3"/>
      <c r="X23" s="3">
        <f t="shared" si="16"/>
        <v>-3165</v>
      </c>
      <c r="Y23" s="3"/>
      <c r="Z23" s="22">
        <f t="shared" si="17"/>
        <v>0</v>
      </c>
    </row>
    <row r="24" spans="1:26" x14ac:dyDescent="0.3">
      <c r="A24" s="9"/>
      <c r="B24" s="10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10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23" customFormat="1" x14ac:dyDescent="0.3">
      <c r="A25" s="10"/>
      <c r="B25" s="26" t="s">
        <v>107</v>
      </c>
      <c r="C25" s="26"/>
      <c r="D25" s="20">
        <f>D12-D21</f>
        <v>14642.929999999998</v>
      </c>
      <c r="E25" s="13"/>
      <c r="F25" s="21">
        <f>IF(D$12=0,0,D25/D$12)</f>
        <v>0.74320879125341144</v>
      </c>
      <c r="G25" s="13"/>
      <c r="H25" s="20">
        <f>H12-H21</f>
        <v>1201.78</v>
      </c>
      <c r="I25" s="13"/>
      <c r="J25" s="21">
        <f>IF(H$12=0,0,H25/H$12)</f>
        <v>1.2327086602865907</v>
      </c>
      <c r="K25" s="16"/>
      <c r="L25" s="20">
        <f>+D25-H25</f>
        <v>13441.149999999998</v>
      </c>
      <c r="M25" s="16"/>
      <c r="N25" s="21">
        <f>IF(H25=0,0,L25/H25)</f>
        <v>11.184368187189001</v>
      </c>
      <c r="O25" s="25"/>
      <c r="P25" s="20">
        <f>P12-P21</f>
        <v>14642.929999999998</v>
      </c>
      <c r="Q25" s="13"/>
      <c r="R25" s="21">
        <f>IF(P$12=0,0,P25/P$12)</f>
        <v>0.74320879125341144</v>
      </c>
      <c r="S25" s="13"/>
      <c r="T25" s="20">
        <f>T12-T21</f>
        <v>1201.78</v>
      </c>
      <c r="U25" s="13"/>
      <c r="V25" s="21">
        <f>IF(T$12=0,0,T25/T$12)</f>
        <v>1.2327086602865907</v>
      </c>
      <c r="W25" s="16"/>
      <c r="X25" s="20">
        <f>+P25-T25</f>
        <v>13441.149999999998</v>
      </c>
      <c r="Y25" s="16"/>
      <c r="Z25" s="21">
        <f>IF(T25=0,0,X25/T25)</f>
        <v>11.184368187189001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294</v>
      </c>
      <c r="C27" s="10"/>
      <c r="D27" s="19">
        <f>SUM(OSRRefD22x_0)</f>
        <v>157781.03000000003</v>
      </c>
      <c r="E27" s="19"/>
      <c r="F27" s="35">
        <f t="shared" ref="F27:F36" si="18">IF(D$12=0,0,D27/D$12)</f>
        <v>8.0082503016143818</v>
      </c>
      <c r="G27" s="19"/>
      <c r="H27" s="19">
        <f>SUM(OSRRefH22x_0)</f>
        <v>162400.23000000001</v>
      </c>
      <c r="I27" s="19"/>
      <c r="J27" s="35">
        <f t="shared" ref="J27:J36" si="19">IF(H$12=0,0,H27/H$12)</f>
        <v>166.57971505062008</v>
      </c>
      <c r="K27" s="4"/>
      <c r="L27" s="19">
        <f t="shared" ref="L27:L36" si="20">+D27-H27</f>
        <v>-4619.1999999999825</v>
      </c>
      <c r="M27" s="4"/>
      <c r="N27" s="35">
        <f t="shared" ref="N27:N36" si="21">IF(H27=0,0,L27/H27)</f>
        <v>-2.8443309470682292E-2</v>
      </c>
      <c r="O27" s="10"/>
      <c r="P27" s="19">
        <f>SUM(OSRRefP22x_0)</f>
        <v>157781.03000000003</v>
      </c>
      <c r="Q27" s="19"/>
      <c r="R27" s="35">
        <f t="shared" ref="R27:R36" si="22">IF(P$12=0,0,P27/P$12)</f>
        <v>8.0082503016143818</v>
      </c>
      <c r="S27" s="19"/>
      <c r="T27" s="19">
        <f>SUM(OSRRefT22x_0)</f>
        <v>162400.23000000001</v>
      </c>
      <c r="U27" s="19"/>
      <c r="V27" s="35">
        <f t="shared" ref="V27:V36" si="23">IF(T$12=0,0,T27/T$12)</f>
        <v>166.57971505062008</v>
      </c>
      <c r="W27" s="4"/>
      <c r="X27" s="19">
        <f t="shared" ref="X27:X36" si="24">+P27-T27</f>
        <v>-4619.1999999999825</v>
      </c>
      <c r="Y27" s="4"/>
      <c r="Z27" s="35">
        <f t="shared" ref="Z27:Z36" si="25">IF(T27=0,0,X27/T27)</f>
        <v>-2.8443309470682292E-2</v>
      </c>
    </row>
    <row r="28" spans="1:26" s="29" customFormat="1" outlineLevel="1" collapsed="1" x14ac:dyDescent="0.3">
      <c r="A28" s="28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25335.059999999998</v>
      </c>
      <c r="E28" s="1"/>
      <c r="F28" s="5">
        <f t="shared" si="18"/>
        <v>1.2858928724601328</v>
      </c>
      <c r="G28" s="1"/>
      <c r="H28" s="1">
        <f>SUM(OSRRefH22_0x_0)</f>
        <v>34968.670000000006</v>
      </c>
      <c r="I28" s="1"/>
      <c r="J28" s="5">
        <f t="shared" si="19"/>
        <v>35.868613513042234</v>
      </c>
      <c r="K28" s="1"/>
      <c r="L28" s="1">
        <f t="shared" si="20"/>
        <v>-9633.6100000000079</v>
      </c>
      <c r="M28" s="1"/>
      <c r="N28" s="5">
        <f t="shared" si="21"/>
        <v>-0.27549260523777447</v>
      </c>
      <c r="O28" s="14"/>
      <c r="P28" s="1">
        <f>SUM(OSRRefP22_0x_0)</f>
        <v>25335.059999999998</v>
      </c>
      <c r="Q28" s="1"/>
      <c r="R28" s="5">
        <f t="shared" si="22"/>
        <v>1.2858928724601328</v>
      </c>
      <c r="S28" s="1"/>
      <c r="T28" s="1">
        <f>SUM(OSRRefT22_0x_0)</f>
        <v>34968.670000000006</v>
      </c>
      <c r="U28" s="1"/>
      <c r="V28" s="5">
        <f t="shared" si="23"/>
        <v>35.868613513042234</v>
      </c>
      <c r="W28" s="1"/>
      <c r="X28" s="1">
        <f t="shared" si="24"/>
        <v>-9633.6100000000079</v>
      </c>
      <c r="Y28" s="1"/>
      <c r="Z28" s="5">
        <f t="shared" si="25"/>
        <v>-0.27549260523777447</v>
      </c>
    </row>
    <row r="29" spans="1:26" s="24" customFormat="1" hidden="1" outlineLevel="2" x14ac:dyDescent="0.3">
      <c r="A29" s="27"/>
      <c r="B29" s="12" t="str">
        <f>CONCATENATE("          ", "6111", " - ", "F.I.C.A.")</f>
        <v xml:space="preserve">          6111 - F.I.C.A.</v>
      </c>
      <c r="C29" s="12"/>
      <c r="D29" s="8">
        <v>3198.56</v>
      </c>
      <c r="E29" s="3"/>
      <c r="F29" s="7">
        <f t="shared" si="18"/>
        <v>0.16234441545179221</v>
      </c>
      <c r="G29" s="3"/>
      <c r="H29" s="8">
        <v>3475.83</v>
      </c>
      <c r="I29" s="3"/>
      <c r="J29" s="7">
        <f t="shared" si="19"/>
        <v>3.5652829491953102</v>
      </c>
      <c r="K29" s="3"/>
      <c r="L29" s="8">
        <f t="shared" si="20"/>
        <v>-277.27</v>
      </c>
      <c r="M29" s="3"/>
      <c r="N29" s="7">
        <f t="shared" si="21"/>
        <v>-7.9770874870174896E-2</v>
      </c>
      <c r="O29" s="12"/>
      <c r="P29" s="8">
        <v>3198.56</v>
      </c>
      <c r="Q29" s="3"/>
      <c r="R29" s="7">
        <f t="shared" si="22"/>
        <v>0.16234441545179221</v>
      </c>
      <c r="S29" s="3"/>
      <c r="T29" s="8">
        <v>3475.83</v>
      </c>
      <c r="U29" s="3"/>
      <c r="V29" s="7">
        <f t="shared" si="23"/>
        <v>3.5652829491953102</v>
      </c>
      <c r="W29" s="3"/>
      <c r="X29" s="8">
        <f t="shared" si="24"/>
        <v>-277.27</v>
      </c>
      <c r="Y29" s="3"/>
      <c r="Z29" s="7">
        <f t="shared" si="25"/>
        <v>-7.9770874870174896E-2</v>
      </c>
    </row>
    <row r="30" spans="1:26" s="24" customFormat="1" hidden="1" outlineLevel="2" x14ac:dyDescent="0.3">
      <c r="A30" s="27"/>
      <c r="B30" s="12" t="str">
        <f>CONCATENATE("          ", "6112", " - ", "COMPENSATION INSURANCE")</f>
        <v xml:space="preserve">          6112 - COMPENSATION INSURANCE</v>
      </c>
      <c r="C30" s="12"/>
      <c r="D30" s="8">
        <v>1106.6199999999999</v>
      </c>
      <c r="E30" s="3"/>
      <c r="F30" s="7">
        <f t="shared" si="18"/>
        <v>5.6167017979110063E-2</v>
      </c>
      <c r="G30" s="3"/>
      <c r="H30" s="8">
        <v>738.68</v>
      </c>
      <c r="I30" s="3"/>
      <c r="J30" s="7">
        <f t="shared" si="19"/>
        <v>0.75769045347775688</v>
      </c>
      <c r="K30" s="3"/>
      <c r="L30" s="8">
        <f t="shared" si="20"/>
        <v>367.93999999999994</v>
      </c>
      <c r="M30" s="3"/>
      <c r="N30" s="7">
        <f t="shared" si="21"/>
        <v>0.49810472735149181</v>
      </c>
      <c r="O30" s="12"/>
      <c r="P30" s="8">
        <v>1106.6199999999999</v>
      </c>
      <c r="Q30" s="3"/>
      <c r="R30" s="7">
        <f t="shared" si="22"/>
        <v>5.6167017979110063E-2</v>
      </c>
      <c r="S30" s="3"/>
      <c r="T30" s="8">
        <v>738.68</v>
      </c>
      <c r="U30" s="3"/>
      <c r="V30" s="7">
        <f t="shared" si="23"/>
        <v>0.75769045347775688</v>
      </c>
      <c r="W30" s="3"/>
      <c r="X30" s="8">
        <f t="shared" si="24"/>
        <v>367.93999999999994</v>
      </c>
      <c r="Y30" s="3"/>
      <c r="Z30" s="7">
        <f t="shared" si="25"/>
        <v>0.49810472735149181</v>
      </c>
    </row>
    <row r="31" spans="1:26" s="24" customFormat="1" hidden="1" outlineLevel="2" x14ac:dyDescent="0.3">
      <c r="A31" s="27"/>
      <c r="B31" s="12" t="str">
        <f>CONCATENATE("          ", "6113", " - ", "GROUP INSURANCE")</f>
        <v xml:space="preserve">          6113 - GROUP INSURANCE</v>
      </c>
      <c r="C31" s="12"/>
      <c r="D31" s="8">
        <v>11932.59</v>
      </c>
      <c r="E31" s="3"/>
      <c r="F31" s="7">
        <f t="shared" si="18"/>
        <v>0.60564421126253731</v>
      </c>
      <c r="G31" s="3"/>
      <c r="H31" s="8">
        <v>18239.09</v>
      </c>
      <c r="I31" s="3"/>
      <c r="J31" s="7">
        <f t="shared" si="19"/>
        <v>18.708485911520039</v>
      </c>
      <c r="K31" s="3"/>
      <c r="L31" s="8">
        <f t="shared" si="20"/>
        <v>-6306.5</v>
      </c>
      <c r="M31" s="3"/>
      <c r="N31" s="7">
        <f t="shared" si="21"/>
        <v>-0.34576834699538189</v>
      </c>
      <c r="O31" s="12"/>
      <c r="P31" s="8">
        <v>11932.59</v>
      </c>
      <c r="Q31" s="3"/>
      <c r="R31" s="7">
        <f t="shared" si="22"/>
        <v>0.60564421126253731</v>
      </c>
      <c r="S31" s="3"/>
      <c r="T31" s="8">
        <v>18239.09</v>
      </c>
      <c r="U31" s="3"/>
      <c r="V31" s="7">
        <f t="shared" si="23"/>
        <v>18.708485911520039</v>
      </c>
      <c r="W31" s="3"/>
      <c r="X31" s="8">
        <f t="shared" si="24"/>
        <v>-6306.5</v>
      </c>
      <c r="Y31" s="3"/>
      <c r="Z31" s="7">
        <f t="shared" si="25"/>
        <v>-0.34576834699538189</v>
      </c>
    </row>
    <row r="32" spans="1:26" s="24" customFormat="1" hidden="1" outlineLevel="2" x14ac:dyDescent="0.3">
      <c r="A32" s="27"/>
      <c r="B32" s="12" t="str">
        <f>CONCATENATE("          ", "6114", " - ", "STATE UNEMPLOYMENT INSURANCE")</f>
        <v xml:space="preserve">          6114 - STATE UNEMPLOYMENT INSURANCE</v>
      </c>
      <c r="C32" s="12"/>
      <c r="D32" s="8">
        <v>108.7</v>
      </c>
      <c r="E32" s="3"/>
      <c r="F32" s="7">
        <f t="shared" si="18"/>
        <v>5.5171195661828498E-3</v>
      </c>
      <c r="G32" s="3"/>
      <c r="H32" s="8">
        <v>105.81</v>
      </c>
      <c r="I32" s="3"/>
      <c r="J32" s="7">
        <f t="shared" si="19"/>
        <v>0.10853309536264887</v>
      </c>
      <c r="K32" s="3"/>
      <c r="L32" s="8">
        <f t="shared" si="20"/>
        <v>2.8900000000000006</v>
      </c>
      <c r="M32" s="3"/>
      <c r="N32" s="7">
        <f t="shared" si="21"/>
        <v>2.731310840185238E-2</v>
      </c>
      <c r="O32" s="12"/>
      <c r="P32" s="8">
        <v>108.7</v>
      </c>
      <c r="Q32" s="3"/>
      <c r="R32" s="7">
        <f t="shared" si="22"/>
        <v>5.5171195661828498E-3</v>
      </c>
      <c r="S32" s="3"/>
      <c r="T32" s="8">
        <v>105.81</v>
      </c>
      <c r="U32" s="3"/>
      <c r="V32" s="7">
        <f t="shared" si="23"/>
        <v>0.10853309536264887</v>
      </c>
      <c r="W32" s="3"/>
      <c r="X32" s="8">
        <f t="shared" si="24"/>
        <v>2.8900000000000006</v>
      </c>
      <c r="Y32" s="3"/>
      <c r="Z32" s="7">
        <f t="shared" si="25"/>
        <v>2.731310840185238E-2</v>
      </c>
    </row>
    <row r="33" spans="1:26" s="24" customFormat="1" hidden="1" outlineLevel="2" x14ac:dyDescent="0.3">
      <c r="A33" s="27"/>
      <c r="B33" s="12" t="str">
        <f>CONCATENATE("          ", "6115", " - ", "P.E.R.S.")</f>
        <v xml:space="preserve">          6115 - P.E.R.S.</v>
      </c>
      <c r="C33" s="12"/>
      <c r="D33" s="8">
        <v>2989.03</v>
      </c>
      <c r="E33" s="3"/>
      <c r="F33" s="7">
        <f t="shared" si="18"/>
        <v>0.15170962186667455</v>
      </c>
      <c r="G33" s="3"/>
      <c r="H33" s="8">
        <v>6511.13</v>
      </c>
      <c r="I33" s="3"/>
      <c r="J33" s="7">
        <f t="shared" si="19"/>
        <v>6.6786985465325008</v>
      </c>
      <c r="K33" s="3"/>
      <c r="L33" s="8">
        <f t="shared" si="20"/>
        <v>-3522.1</v>
      </c>
      <c r="M33" s="3"/>
      <c r="N33" s="7">
        <f t="shared" si="21"/>
        <v>-0.54093529080205738</v>
      </c>
      <c r="O33" s="12"/>
      <c r="P33" s="8">
        <v>2989.03</v>
      </c>
      <c r="Q33" s="3"/>
      <c r="R33" s="7">
        <f t="shared" si="22"/>
        <v>0.15170962186667455</v>
      </c>
      <c r="S33" s="3"/>
      <c r="T33" s="8">
        <v>6511.13</v>
      </c>
      <c r="U33" s="3"/>
      <c r="V33" s="7">
        <f t="shared" si="23"/>
        <v>6.6786985465325008</v>
      </c>
      <c r="W33" s="3"/>
      <c r="X33" s="8">
        <f t="shared" si="24"/>
        <v>-3522.1</v>
      </c>
      <c r="Y33" s="3"/>
      <c r="Z33" s="7">
        <f t="shared" si="25"/>
        <v>-0.54093529080205738</v>
      </c>
    </row>
    <row r="34" spans="1:26" s="24" customFormat="1" hidden="1" outlineLevel="2" x14ac:dyDescent="0.3">
      <c r="A34" s="27"/>
      <c r="B34" s="12" t="str">
        <f>CONCATENATE("          ", "6118", " - ", "VACATION")</f>
        <v xml:space="preserve">          6118 - VACATION</v>
      </c>
      <c r="C34" s="12"/>
      <c r="D34" s="8">
        <v>2954.94</v>
      </c>
      <c r="E34" s="3"/>
      <c r="F34" s="7">
        <f t="shared" si="18"/>
        <v>0.14997936790153035</v>
      </c>
      <c r="G34" s="3"/>
      <c r="H34" s="8">
        <v>3359.21</v>
      </c>
      <c r="I34" s="3"/>
      <c r="J34" s="7">
        <f t="shared" si="19"/>
        <v>3.4456616508190501</v>
      </c>
      <c r="K34" s="3"/>
      <c r="L34" s="8">
        <f t="shared" si="20"/>
        <v>-404.27</v>
      </c>
      <c r="M34" s="3"/>
      <c r="N34" s="7">
        <f t="shared" si="21"/>
        <v>-0.12034674819377174</v>
      </c>
      <c r="O34" s="12"/>
      <c r="P34" s="8">
        <v>2954.94</v>
      </c>
      <c r="Q34" s="3"/>
      <c r="R34" s="7">
        <f t="shared" si="22"/>
        <v>0.14997936790153035</v>
      </c>
      <c r="S34" s="3"/>
      <c r="T34" s="8">
        <v>3359.21</v>
      </c>
      <c r="U34" s="3"/>
      <c r="V34" s="7">
        <f t="shared" si="23"/>
        <v>3.4456616508190501</v>
      </c>
      <c r="W34" s="3"/>
      <c r="X34" s="8">
        <f t="shared" si="24"/>
        <v>-404.27</v>
      </c>
      <c r="Y34" s="3"/>
      <c r="Z34" s="7">
        <f t="shared" si="25"/>
        <v>-0.12034674819377174</v>
      </c>
    </row>
    <row r="35" spans="1:26" s="24" customFormat="1" hidden="1" outlineLevel="2" x14ac:dyDescent="0.3">
      <c r="A35" s="27"/>
      <c r="B35" s="12" t="str">
        <f>CONCATENATE("          ", "6119", " - ", "SICK LEAVE")</f>
        <v xml:space="preserve">          6119 - SICK LEAVE</v>
      </c>
      <c r="C35" s="12"/>
      <c r="D35" s="8">
        <v>1898.78</v>
      </c>
      <c r="E35" s="3"/>
      <c r="F35" s="7">
        <f t="shared" si="18"/>
        <v>9.637347092802824E-2</v>
      </c>
      <c r="G35" s="3"/>
      <c r="H35" s="8">
        <v>2229.19</v>
      </c>
      <c r="I35" s="3"/>
      <c r="J35" s="7">
        <f t="shared" si="19"/>
        <v>2.2865597850057955</v>
      </c>
      <c r="K35" s="3"/>
      <c r="L35" s="8">
        <f t="shared" si="20"/>
        <v>-330.41000000000008</v>
      </c>
      <c r="M35" s="3"/>
      <c r="N35" s="7">
        <f t="shared" si="21"/>
        <v>-0.14821975695207679</v>
      </c>
      <c r="O35" s="12"/>
      <c r="P35" s="8">
        <v>1898.78</v>
      </c>
      <c r="Q35" s="3"/>
      <c r="R35" s="7">
        <f t="shared" si="22"/>
        <v>9.637347092802824E-2</v>
      </c>
      <c r="S35" s="3"/>
      <c r="T35" s="8">
        <v>2229.19</v>
      </c>
      <c r="U35" s="3"/>
      <c r="V35" s="7">
        <f t="shared" si="23"/>
        <v>2.2865597850057955</v>
      </c>
      <c r="W35" s="3"/>
      <c r="X35" s="8">
        <f t="shared" si="24"/>
        <v>-330.41000000000008</v>
      </c>
      <c r="Y35" s="3"/>
      <c r="Z35" s="7">
        <f t="shared" si="25"/>
        <v>-0.14821975695207679</v>
      </c>
    </row>
    <row r="36" spans="1:26" s="24" customFormat="1" hidden="1" outlineLevel="2" x14ac:dyDescent="0.3">
      <c r="A36" s="27"/>
      <c r="B36" s="12" t="str">
        <f>CONCATENATE("          ", "6156", " - ", "EMPLOYEE MEALS")</f>
        <v xml:space="preserve">          6156 - EMPLOYEE MEALS</v>
      </c>
      <c r="C36" s="12"/>
      <c r="D36" s="8">
        <v>1145.8399999999999</v>
      </c>
      <c r="E36" s="3"/>
      <c r="F36" s="7">
        <f t="shared" si="18"/>
        <v>5.8157647504277418E-2</v>
      </c>
      <c r="G36" s="3"/>
      <c r="H36" s="8">
        <v>309.73</v>
      </c>
      <c r="I36" s="3"/>
      <c r="J36" s="7">
        <f t="shared" si="19"/>
        <v>0.3177011211291299</v>
      </c>
      <c r="K36" s="3"/>
      <c r="L36" s="8">
        <f t="shared" si="20"/>
        <v>836.1099999999999</v>
      </c>
      <c r="M36" s="3"/>
      <c r="N36" s="7">
        <f t="shared" si="21"/>
        <v>2.6994801924256606</v>
      </c>
      <c r="O36" s="12"/>
      <c r="P36" s="8">
        <v>1145.8399999999999</v>
      </c>
      <c r="Q36" s="3"/>
      <c r="R36" s="7">
        <f t="shared" si="22"/>
        <v>5.8157647504277418E-2</v>
      </c>
      <c r="S36" s="3"/>
      <c r="T36" s="8">
        <v>309.73</v>
      </c>
      <c r="U36" s="3"/>
      <c r="V36" s="7">
        <f t="shared" si="23"/>
        <v>0.3177011211291299</v>
      </c>
      <c r="W36" s="3"/>
      <c r="X36" s="8">
        <f t="shared" si="24"/>
        <v>836.1099999999999</v>
      </c>
      <c r="Y36" s="3"/>
      <c r="Z36" s="7">
        <f t="shared" si="25"/>
        <v>2.6994801924256606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52602.950000000004</v>
      </c>
      <c r="E37" s="1"/>
      <c r="F37" s="5">
        <f t="shared" ref="F37:F42" si="26">IF(D$12=0,0,D37/D$12)</f>
        <v>2.669887439594647</v>
      </c>
      <c r="G37" s="1"/>
      <c r="H37" s="1">
        <f>SUM(OSRRefH22_1x_0)</f>
        <v>47905.05</v>
      </c>
      <c r="I37" s="1"/>
      <c r="J37" s="5">
        <f t="shared" ref="J37:J42" si="27">IF(H$12=0,0,H37/H$12)</f>
        <v>49.137920423423708</v>
      </c>
      <c r="K37" s="1"/>
      <c r="L37" s="1">
        <f t="shared" ref="L37:L42" si="28">+D37-H37</f>
        <v>4697.9000000000015</v>
      </c>
      <c r="M37" s="1"/>
      <c r="N37" s="5">
        <f t="shared" ref="N37:N42" si="29">IF(H37=0,0,L37/H37)</f>
        <v>9.8066905263641327E-2</v>
      </c>
      <c r="O37" s="14"/>
      <c r="P37" s="1">
        <f>SUM(OSRRefP22_1x_0)</f>
        <v>52602.950000000004</v>
      </c>
      <c r="Q37" s="1"/>
      <c r="R37" s="5">
        <f t="shared" ref="R37:R42" si="30">IF(P$12=0,0,P37/P$12)</f>
        <v>2.669887439594647</v>
      </c>
      <c r="S37" s="1"/>
      <c r="T37" s="1">
        <f>SUM(OSRRefT22_1x_0)</f>
        <v>47905.05</v>
      </c>
      <c r="U37" s="1"/>
      <c r="V37" s="5">
        <f t="shared" ref="V37:V42" si="31">IF(T$12=0,0,T37/T$12)</f>
        <v>49.137920423423708</v>
      </c>
      <c r="W37" s="1"/>
      <c r="X37" s="1">
        <f t="shared" ref="X37:X42" si="32">+P37-T37</f>
        <v>4697.9000000000015</v>
      </c>
      <c r="Y37" s="1"/>
      <c r="Z37" s="5">
        <f t="shared" ref="Z37:Z42" si="33">IF(T37=0,0,X37/T37)</f>
        <v>9.8066905263641327E-2</v>
      </c>
    </row>
    <row r="38" spans="1:26" s="24" customFormat="1" hidden="1" outlineLevel="2" x14ac:dyDescent="0.3">
      <c r="A38" s="27"/>
      <c r="B38" s="12" t="str">
        <f>CONCATENATE("          ", "6001", " - ", "ADMINISTRATIVE SALARIES")</f>
        <v xml:space="preserve">          6001 - ADMINISTRATIVE SALARIES</v>
      </c>
      <c r="C38" s="12"/>
      <c r="D38" s="8">
        <v>13836.28</v>
      </c>
      <c r="E38" s="3"/>
      <c r="F38" s="7">
        <f t="shared" si="26"/>
        <v>0.70226689154723498</v>
      </c>
      <c r="G38" s="3"/>
      <c r="H38" s="8">
        <v>11207.33</v>
      </c>
      <c r="I38" s="3"/>
      <c r="J38" s="7">
        <f t="shared" si="27"/>
        <v>11.495758582843544</v>
      </c>
      <c r="K38" s="3"/>
      <c r="L38" s="8">
        <f t="shared" si="28"/>
        <v>2628.9500000000007</v>
      </c>
      <c r="M38" s="3"/>
      <c r="N38" s="7">
        <f t="shared" si="29"/>
        <v>0.23457415816255975</v>
      </c>
      <c r="O38" s="12"/>
      <c r="P38" s="8">
        <v>13836.28</v>
      </c>
      <c r="Q38" s="3"/>
      <c r="R38" s="7">
        <f t="shared" si="30"/>
        <v>0.70226689154723498</v>
      </c>
      <c r="S38" s="3"/>
      <c r="T38" s="8">
        <v>11207.33</v>
      </c>
      <c r="U38" s="3"/>
      <c r="V38" s="7">
        <f t="shared" si="31"/>
        <v>11.495758582843544</v>
      </c>
      <c r="W38" s="3"/>
      <c r="X38" s="8">
        <f t="shared" si="32"/>
        <v>2628.9500000000007</v>
      </c>
      <c r="Y38" s="3"/>
      <c r="Z38" s="7">
        <f t="shared" si="33"/>
        <v>0.23457415816255975</v>
      </c>
    </row>
    <row r="39" spans="1:26" s="24" customFormat="1" hidden="1" outlineLevel="2" x14ac:dyDescent="0.3">
      <c r="A39" s="27"/>
      <c r="B39" s="12" t="str">
        <f>CONCATENATE("          ", "6002", " - ", "STAFF SALARIES")</f>
        <v xml:space="preserve">          6002 - STAFF SALARIES</v>
      </c>
      <c r="C39" s="12"/>
      <c r="D39" s="8">
        <v>23724.02</v>
      </c>
      <c r="E39" s="3"/>
      <c r="F39" s="7">
        <f t="shared" si="26"/>
        <v>1.2041237804095055</v>
      </c>
      <c r="G39" s="3"/>
      <c r="H39" s="8">
        <v>32575.99</v>
      </c>
      <c r="I39" s="3"/>
      <c r="J39" s="7">
        <f t="shared" si="27"/>
        <v>33.41435619698229</v>
      </c>
      <c r="K39" s="3"/>
      <c r="L39" s="8">
        <f t="shared" si="28"/>
        <v>-8851.9700000000012</v>
      </c>
      <c r="M39" s="3"/>
      <c r="N39" s="7">
        <f t="shared" si="29"/>
        <v>-0.2717329542402242</v>
      </c>
      <c r="O39" s="12"/>
      <c r="P39" s="8">
        <v>23724.02</v>
      </c>
      <c r="Q39" s="3"/>
      <c r="R39" s="7">
        <f t="shared" si="30"/>
        <v>1.2041237804095055</v>
      </c>
      <c r="S39" s="3"/>
      <c r="T39" s="8">
        <v>32575.99</v>
      </c>
      <c r="U39" s="3"/>
      <c r="V39" s="7">
        <f t="shared" si="31"/>
        <v>33.41435619698229</v>
      </c>
      <c r="W39" s="3"/>
      <c r="X39" s="8">
        <f t="shared" si="32"/>
        <v>-8851.9700000000012</v>
      </c>
      <c r="Y39" s="3"/>
      <c r="Z39" s="7">
        <f t="shared" si="33"/>
        <v>-0.2717329542402242</v>
      </c>
    </row>
    <row r="40" spans="1:26" s="24" customFormat="1" hidden="1" outlineLevel="2" x14ac:dyDescent="0.3">
      <c r="A40" s="27"/>
      <c r="B40" s="12" t="str">
        <f>CONCATENATE("          ", "6004", " - ", "STAFF HOURLY")</f>
        <v xml:space="preserve">          6004 - STAFF HOURLY</v>
      </c>
      <c r="C40" s="12"/>
      <c r="D40" s="8">
        <v>7726.26</v>
      </c>
      <c r="E40" s="3"/>
      <c r="F40" s="7">
        <f t="shared" si="26"/>
        <v>0.39214995602038549</v>
      </c>
      <c r="G40" s="3"/>
      <c r="H40" s="8">
        <v>2771.73</v>
      </c>
      <c r="I40" s="3"/>
      <c r="J40" s="7">
        <f t="shared" si="27"/>
        <v>2.8430624365326032</v>
      </c>
      <c r="K40" s="3"/>
      <c r="L40" s="8">
        <f t="shared" si="28"/>
        <v>4954.5300000000007</v>
      </c>
      <c r="M40" s="3"/>
      <c r="N40" s="7">
        <f t="shared" si="29"/>
        <v>1.7875225941920752</v>
      </c>
      <c r="O40" s="12"/>
      <c r="P40" s="8">
        <v>7726.26</v>
      </c>
      <c r="Q40" s="3"/>
      <c r="R40" s="7">
        <f t="shared" si="30"/>
        <v>0.39214995602038549</v>
      </c>
      <c r="S40" s="3"/>
      <c r="T40" s="8">
        <v>2771.73</v>
      </c>
      <c r="U40" s="3"/>
      <c r="V40" s="7">
        <f t="shared" si="31"/>
        <v>2.8430624365326032</v>
      </c>
      <c r="W40" s="3"/>
      <c r="X40" s="8">
        <f t="shared" si="32"/>
        <v>4954.5300000000007</v>
      </c>
      <c r="Y40" s="3"/>
      <c r="Z40" s="7">
        <f t="shared" si="33"/>
        <v>1.7875225941920752</v>
      </c>
    </row>
    <row r="41" spans="1:26" s="24" customFormat="1" hidden="1" outlineLevel="2" x14ac:dyDescent="0.3">
      <c r="A41" s="27"/>
      <c r="B41" s="12" t="str">
        <f>CONCATENATE("          ", "6005", " - ", "TEMPORARY WAGES-HOURLY")</f>
        <v xml:space="preserve">          6005 - TEMPORARY WAGES-HOURLY</v>
      </c>
      <c r="C41" s="12"/>
      <c r="D41" s="8">
        <v>3353.39</v>
      </c>
      <c r="E41" s="3"/>
      <c r="F41" s="7">
        <f t="shared" si="26"/>
        <v>0.17020288483939194</v>
      </c>
      <c r="G41" s="3"/>
      <c r="H41" s="8"/>
      <c r="I41" s="3"/>
      <c r="J41" s="7">
        <f t="shared" si="27"/>
        <v>0</v>
      </c>
      <c r="K41" s="3"/>
      <c r="L41" s="8">
        <f t="shared" si="28"/>
        <v>3353.39</v>
      </c>
      <c r="M41" s="3"/>
      <c r="N41" s="7">
        <f t="shared" si="29"/>
        <v>0</v>
      </c>
      <c r="O41" s="12"/>
      <c r="P41" s="8">
        <v>3353.39</v>
      </c>
      <c r="Q41" s="3"/>
      <c r="R41" s="7">
        <f t="shared" si="30"/>
        <v>0.17020288483939194</v>
      </c>
      <c r="S41" s="3"/>
      <c r="T41" s="8"/>
      <c r="U41" s="3"/>
      <c r="V41" s="7">
        <f t="shared" si="31"/>
        <v>0</v>
      </c>
      <c r="W41" s="3"/>
      <c r="X41" s="8">
        <f t="shared" si="32"/>
        <v>3353.39</v>
      </c>
      <c r="Y41" s="3"/>
      <c r="Z41" s="7">
        <f t="shared" si="33"/>
        <v>0</v>
      </c>
    </row>
    <row r="42" spans="1:26" s="24" customFormat="1" hidden="1" outlineLevel="2" x14ac:dyDescent="0.3">
      <c r="A42" s="27"/>
      <c r="B42" s="12" t="str">
        <f>CONCATENATE("          ", "6007", " - ", "STUDENT HOURLY")</f>
        <v xml:space="preserve">          6007 - STUDENT HOURLY</v>
      </c>
      <c r="C42" s="12"/>
      <c r="D42" s="8">
        <v>3963</v>
      </c>
      <c r="E42" s="3"/>
      <c r="F42" s="7">
        <f t="shared" si="26"/>
        <v>0.20114392677812909</v>
      </c>
      <c r="G42" s="3"/>
      <c r="H42" s="8">
        <v>1350</v>
      </c>
      <c r="I42" s="3"/>
      <c r="J42" s="7">
        <f t="shared" si="27"/>
        <v>1.3847432070652677</v>
      </c>
      <c r="K42" s="3"/>
      <c r="L42" s="8">
        <f t="shared" si="28"/>
        <v>2613</v>
      </c>
      <c r="M42" s="3"/>
      <c r="N42" s="7">
        <f t="shared" si="29"/>
        <v>1.9355555555555555</v>
      </c>
      <c r="O42" s="12"/>
      <c r="P42" s="8">
        <v>3963</v>
      </c>
      <c r="Q42" s="3"/>
      <c r="R42" s="7">
        <f t="shared" si="30"/>
        <v>0.20114392677812909</v>
      </c>
      <c r="S42" s="3"/>
      <c r="T42" s="8">
        <v>1350</v>
      </c>
      <c r="U42" s="3"/>
      <c r="V42" s="7">
        <f t="shared" si="31"/>
        <v>1.3847432070652677</v>
      </c>
      <c r="W42" s="3"/>
      <c r="X42" s="8">
        <f t="shared" si="32"/>
        <v>2613</v>
      </c>
      <c r="Y42" s="3"/>
      <c r="Z42" s="7">
        <f t="shared" si="33"/>
        <v>1.9355555555555555</v>
      </c>
    </row>
    <row r="43" spans="1:26" s="29" customFormat="1" outlineLevel="1" collapsed="1" x14ac:dyDescent="0.3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424.79</v>
      </c>
      <c r="E43" s="1"/>
      <c r="F43" s="5">
        <f t="shared" ref="F43:F51" si="34">IF(D$12=0,0,D43/D$12)</f>
        <v>2.1560416012132592E-2</v>
      </c>
      <c r="G43" s="1"/>
      <c r="H43" s="1">
        <f>SUM(OSRRefH22_2x_0)</f>
        <v>45.97</v>
      </c>
      <c r="I43" s="1"/>
      <c r="J43" s="5">
        <f t="shared" ref="J43:J51" si="35">IF(H$12=0,0,H43/H$12)</f>
        <v>4.7153070539844702E-2</v>
      </c>
      <c r="K43" s="1"/>
      <c r="L43" s="1">
        <f t="shared" ref="L43:L51" si="36">+D43-H43</f>
        <v>378.82000000000005</v>
      </c>
      <c r="M43" s="1"/>
      <c r="N43" s="5">
        <f t="shared" ref="N43:N51" si="37">IF(H43=0,0,L43/H43)</f>
        <v>8.2405916902327618</v>
      </c>
      <c r="O43" s="14"/>
      <c r="P43" s="1">
        <f>SUM(OSRRefP22_2x_0)</f>
        <v>424.79</v>
      </c>
      <c r="Q43" s="1"/>
      <c r="R43" s="5">
        <f t="shared" ref="R43:R51" si="38">IF(P$12=0,0,P43/P$12)</f>
        <v>2.1560416012132592E-2</v>
      </c>
      <c r="S43" s="1"/>
      <c r="T43" s="1">
        <f>SUM(OSRRefT22_2x_0)</f>
        <v>45.97</v>
      </c>
      <c r="U43" s="1"/>
      <c r="V43" s="5">
        <f t="shared" ref="V43:V51" si="39">IF(T$12=0,0,T43/T$12)</f>
        <v>4.7153070539844702E-2</v>
      </c>
      <c r="W43" s="1"/>
      <c r="X43" s="1">
        <f t="shared" ref="X43:X51" si="40">+P43-T43</f>
        <v>378.82000000000005</v>
      </c>
      <c r="Y43" s="1"/>
      <c r="Z43" s="5">
        <f t="shared" ref="Z43:Z51" si="41">IF(T43=0,0,X43/T43)</f>
        <v>8.2405916902327618</v>
      </c>
    </row>
    <row r="44" spans="1:26" s="24" customFormat="1" hidden="1" outlineLevel="2" x14ac:dyDescent="0.3">
      <c r="A44" s="27"/>
      <c r="B44" s="12" t="str">
        <f>CONCATENATE("          ", "6362", " - ", "ADVERTISING EXPENSE")</f>
        <v xml:space="preserve">          6362 - ADVERTISING EXPENSE</v>
      </c>
      <c r="C44" s="12"/>
      <c r="D44" s="8">
        <v>424.79</v>
      </c>
      <c r="E44" s="3"/>
      <c r="F44" s="7">
        <f t="shared" si="34"/>
        <v>2.1560416012132592E-2</v>
      </c>
      <c r="G44" s="3"/>
      <c r="H44" s="8">
        <v>45.97</v>
      </c>
      <c r="I44" s="3"/>
      <c r="J44" s="7">
        <f t="shared" si="35"/>
        <v>4.7153070539844702E-2</v>
      </c>
      <c r="K44" s="3"/>
      <c r="L44" s="8">
        <f t="shared" si="36"/>
        <v>378.82000000000005</v>
      </c>
      <c r="M44" s="3"/>
      <c r="N44" s="7">
        <f t="shared" si="37"/>
        <v>8.2405916902327618</v>
      </c>
      <c r="O44" s="12"/>
      <c r="P44" s="8">
        <v>424.79</v>
      </c>
      <c r="Q44" s="3"/>
      <c r="R44" s="7">
        <f t="shared" si="38"/>
        <v>2.1560416012132592E-2</v>
      </c>
      <c r="S44" s="3"/>
      <c r="T44" s="8">
        <v>45.97</v>
      </c>
      <c r="U44" s="3"/>
      <c r="V44" s="7">
        <f t="shared" si="39"/>
        <v>4.7153070539844702E-2</v>
      </c>
      <c r="W44" s="3"/>
      <c r="X44" s="8">
        <f t="shared" si="40"/>
        <v>378.82000000000005</v>
      </c>
      <c r="Y44" s="3"/>
      <c r="Z44" s="7">
        <f t="shared" si="41"/>
        <v>8.2405916902327618</v>
      </c>
    </row>
    <row r="45" spans="1:26" s="29" customFormat="1" outlineLevel="1" collapsed="1" x14ac:dyDescent="0.3">
      <c r="A45" s="28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-19.02</v>
      </c>
      <c r="E45" s="1"/>
      <c r="F45" s="5">
        <f t="shared" si="34"/>
        <v>-9.6536903540752337E-4</v>
      </c>
      <c r="G45" s="1"/>
      <c r="H45" s="1">
        <f>SUM(OSRRefH22_3x_0)</f>
        <v>0</v>
      </c>
      <c r="I45" s="1"/>
      <c r="J45" s="5">
        <f t="shared" si="35"/>
        <v>0</v>
      </c>
      <c r="K45" s="1"/>
      <c r="L45" s="1">
        <f t="shared" si="36"/>
        <v>-19.02</v>
      </c>
      <c r="M45" s="1"/>
      <c r="N45" s="5">
        <f t="shared" si="37"/>
        <v>0</v>
      </c>
      <c r="O45" s="14"/>
      <c r="P45" s="1">
        <f>SUM(OSRRefP22_3x_0)</f>
        <v>-19.02</v>
      </c>
      <c r="Q45" s="1"/>
      <c r="R45" s="5">
        <f t="shared" si="38"/>
        <v>-9.6536903540752337E-4</v>
      </c>
      <c r="S45" s="1"/>
      <c r="T45" s="1">
        <f>SUM(OSRRefT22_3x_0)</f>
        <v>0</v>
      </c>
      <c r="U45" s="1"/>
      <c r="V45" s="5">
        <f t="shared" si="39"/>
        <v>0</v>
      </c>
      <c r="W45" s="1"/>
      <c r="X45" s="1">
        <f t="shared" si="40"/>
        <v>-19.02</v>
      </c>
      <c r="Y45" s="1"/>
      <c r="Z45" s="5">
        <f t="shared" si="41"/>
        <v>0</v>
      </c>
    </row>
    <row r="46" spans="1:26" s="24" customFormat="1" hidden="1" outlineLevel="2" x14ac:dyDescent="0.3">
      <c r="A46" s="27"/>
      <c r="B46" s="12" t="str">
        <f>CONCATENATE("          ", "6272", " - ", "CASH (OVER/SHORT)")</f>
        <v xml:space="preserve">          6272 - CASH (OVER/SHORT)</v>
      </c>
      <c r="C46" s="12"/>
      <c r="D46" s="8">
        <v>-19.02</v>
      </c>
      <c r="E46" s="3"/>
      <c r="F46" s="7">
        <f t="shared" si="34"/>
        <v>-9.6536903540752337E-4</v>
      </c>
      <c r="G46" s="3"/>
      <c r="H46" s="8"/>
      <c r="I46" s="3"/>
      <c r="J46" s="7">
        <f t="shared" si="35"/>
        <v>0</v>
      </c>
      <c r="K46" s="3"/>
      <c r="L46" s="8">
        <f t="shared" si="36"/>
        <v>-19.02</v>
      </c>
      <c r="M46" s="3"/>
      <c r="N46" s="7">
        <f t="shared" si="37"/>
        <v>0</v>
      </c>
      <c r="O46" s="12"/>
      <c r="P46" s="8">
        <v>-19.02</v>
      </c>
      <c r="Q46" s="3"/>
      <c r="R46" s="7">
        <f t="shared" si="38"/>
        <v>-9.6536903540752337E-4</v>
      </c>
      <c r="S46" s="3"/>
      <c r="T46" s="8"/>
      <c r="U46" s="3"/>
      <c r="V46" s="7">
        <f t="shared" si="39"/>
        <v>0</v>
      </c>
      <c r="W46" s="3"/>
      <c r="X46" s="8">
        <f t="shared" si="40"/>
        <v>-19.02</v>
      </c>
      <c r="Y46" s="3"/>
      <c r="Z46" s="7">
        <f t="shared" si="41"/>
        <v>0</v>
      </c>
    </row>
    <row r="47" spans="1:26" s="29" customFormat="1" outlineLevel="1" collapsed="1" x14ac:dyDescent="0.3">
      <c r="A47" s="28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1008.71</v>
      </c>
      <c r="E47" s="1"/>
      <c r="F47" s="5">
        <f t="shared" si="34"/>
        <v>5.1197549931962301E-2</v>
      </c>
      <c r="G47" s="1"/>
      <c r="H47" s="1">
        <f>SUM(OSRRefH22_4x_0)</f>
        <v>342.82</v>
      </c>
      <c r="I47" s="1"/>
      <c r="J47" s="5">
        <f t="shared" si="35"/>
        <v>0.35164271573786299</v>
      </c>
      <c r="K47" s="1"/>
      <c r="L47" s="1">
        <f t="shared" si="36"/>
        <v>665.8900000000001</v>
      </c>
      <c r="M47" s="1"/>
      <c r="N47" s="5">
        <f t="shared" si="37"/>
        <v>1.9423895922058225</v>
      </c>
      <c r="O47" s="14"/>
      <c r="P47" s="1">
        <f>SUM(OSRRefP22_4x_0)</f>
        <v>1008.71</v>
      </c>
      <c r="Q47" s="1"/>
      <c r="R47" s="5">
        <f t="shared" si="38"/>
        <v>5.1197549931962301E-2</v>
      </c>
      <c r="S47" s="1"/>
      <c r="T47" s="1">
        <f>SUM(OSRRefT22_4x_0)</f>
        <v>342.82</v>
      </c>
      <c r="U47" s="1"/>
      <c r="V47" s="5">
        <f t="shared" si="39"/>
        <v>0.35164271573786299</v>
      </c>
      <c r="W47" s="1"/>
      <c r="X47" s="1">
        <f t="shared" si="40"/>
        <v>665.8900000000001</v>
      </c>
      <c r="Y47" s="1"/>
      <c r="Z47" s="5">
        <f t="shared" si="41"/>
        <v>1.9423895922058225</v>
      </c>
    </row>
    <row r="48" spans="1:26" s="24" customFormat="1" hidden="1" outlineLevel="2" x14ac:dyDescent="0.3">
      <c r="A48" s="27"/>
      <c r="B48" s="12" t="str">
        <f>CONCATENATE("          ", "6381", " - ", "BANK/CREDIT CARD FEES")</f>
        <v xml:space="preserve">          6381 - BANK/CREDIT CARD FEES</v>
      </c>
      <c r="C48" s="12"/>
      <c r="D48" s="8">
        <v>1008.71</v>
      </c>
      <c r="E48" s="3"/>
      <c r="F48" s="7">
        <f t="shared" si="34"/>
        <v>5.1197549931962301E-2</v>
      </c>
      <c r="G48" s="3"/>
      <c r="H48" s="8">
        <v>342.82</v>
      </c>
      <c r="I48" s="3"/>
      <c r="J48" s="7">
        <f t="shared" si="35"/>
        <v>0.35164271573786299</v>
      </c>
      <c r="K48" s="3"/>
      <c r="L48" s="8">
        <f t="shared" si="36"/>
        <v>665.8900000000001</v>
      </c>
      <c r="M48" s="3"/>
      <c r="N48" s="7">
        <f t="shared" si="37"/>
        <v>1.9423895922058225</v>
      </c>
      <c r="O48" s="12"/>
      <c r="P48" s="8">
        <v>1008.71</v>
      </c>
      <c r="Q48" s="3"/>
      <c r="R48" s="7">
        <f t="shared" si="38"/>
        <v>5.1197549931962301E-2</v>
      </c>
      <c r="S48" s="3"/>
      <c r="T48" s="8">
        <v>342.82</v>
      </c>
      <c r="U48" s="3"/>
      <c r="V48" s="7">
        <f t="shared" si="39"/>
        <v>0.35164271573786299</v>
      </c>
      <c r="W48" s="3"/>
      <c r="X48" s="8">
        <f t="shared" si="40"/>
        <v>665.8900000000001</v>
      </c>
      <c r="Y48" s="3"/>
      <c r="Z48" s="7">
        <f t="shared" si="41"/>
        <v>1.9423895922058225</v>
      </c>
    </row>
    <row r="49" spans="1:26" s="29" customFormat="1" outlineLevel="1" collapsed="1" x14ac:dyDescent="0.3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39961.65</v>
      </c>
      <c r="E49" s="1"/>
      <c r="F49" s="5">
        <f t="shared" si="34"/>
        <v>2.0282723193371743</v>
      </c>
      <c r="G49" s="1"/>
      <c r="H49" s="1">
        <f>SUM(OSRRefH22_5x_0)</f>
        <v>46546.740000000005</v>
      </c>
      <c r="I49" s="1"/>
      <c r="J49" s="5">
        <f t="shared" si="35"/>
        <v>47.744653352617171</v>
      </c>
      <c r="K49" s="1"/>
      <c r="L49" s="1">
        <f t="shared" si="36"/>
        <v>-6585.0900000000038</v>
      </c>
      <c r="M49" s="1"/>
      <c r="N49" s="5">
        <f t="shared" si="37"/>
        <v>-0.1414726358924385</v>
      </c>
      <c r="O49" s="14"/>
      <c r="P49" s="1">
        <f>SUM(OSRRefP22_5x_0)</f>
        <v>39961.65</v>
      </c>
      <c r="Q49" s="1"/>
      <c r="R49" s="5">
        <f t="shared" si="38"/>
        <v>2.0282723193371743</v>
      </c>
      <c r="S49" s="1"/>
      <c r="T49" s="1">
        <f>SUM(OSRRefT22_5x_0)</f>
        <v>46546.740000000005</v>
      </c>
      <c r="U49" s="1"/>
      <c r="V49" s="5">
        <f t="shared" si="39"/>
        <v>47.744653352617171</v>
      </c>
      <c r="W49" s="1"/>
      <c r="X49" s="1">
        <f t="shared" si="40"/>
        <v>-6585.0900000000038</v>
      </c>
      <c r="Y49" s="1"/>
      <c r="Z49" s="5">
        <f t="shared" si="41"/>
        <v>-0.1414726358924385</v>
      </c>
    </row>
    <row r="50" spans="1:26" s="24" customFormat="1" hidden="1" outlineLevel="2" x14ac:dyDescent="0.3">
      <c r="A50" s="27"/>
      <c r="B50" s="12" t="str">
        <f>CONCATENATE("          ", "6321", " - ", "BUILDING DEPRECIATION")</f>
        <v xml:space="preserve">          6321 - BUILDING DEPRECIATION</v>
      </c>
      <c r="C50" s="12"/>
      <c r="D50" s="8">
        <v>28663.98</v>
      </c>
      <c r="E50" s="3"/>
      <c r="F50" s="7">
        <f t="shared" si="34"/>
        <v>1.4548537709537614</v>
      </c>
      <c r="G50" s="3"/>
      <c r="H50" s="8">
        <v>28925.4</v>
      </c>
      <c r="I50" s="3"/>
      <c r="J50" s="7">
        <f t="shared" si="35"/>
        <v>29.669815675293105</v>
      </c>
      <c r="K50" s="3"/>
      <c r="L50" s="8">
        <f t="shared" si="36"/>
        <v>-261.42000000000189</v>
      </c>
      <c r="M50" s="3"/>
      <c r="N50" s="7">
        <f t="shared" si="37"/>
        <v>-9.0377315439026558E-3</v>
      </c>
      <c r="O50" s="12"/>
      <c r="P50" s="8">
        <v>28663.98</v>
      </c>
      <c r="Q50" s="3"/>
      <c r="R50" s="7">
        <f t="shared" si="38"/>
        <v>1.4548537709537614</v>
      </c>
      <c r="S50" s="3"/>
      <c r="T50" s="8">
        <v>28925.4</v>
      </c>
      <c r="U50" s="3"/>
      <c r="V50" s="7">
        <f t="shared" si="39"/>
        <v>29.669815675293105</v>
      </c>
      <c r="W50" s="3"/>
      <c r="X50" s="8">
        <f t="shared" si="40"/>
        <v>-261.42000000000189</v>
      </c>
      <c r="Y50" s="3"/>
      <c r="Z50" s="7">
        <f t="shared" si="41"/>
        <v>-9.0377315439026558E-3</v>
      </c>
    </row>
    <row r="51" spans="1:26" s="24" customFormat="1" hidden="1" outlineLevel="2" x14ac:dyDescent="0.3">
      <c r="A51" s="27"/>
      <c r="B51" s="12" t="str">
        <f>CONCATENATE("          ", "6322", " - ", "EQUIPMENT DEPRECIATION EXPENSE")</f>
        <v xml:space="preserve">          6322 - EQUIPMENT DEPRECIATION EXPENSE</v>
      </c>
      <c r="C51" s="12"/>
      <c r="D51" s="8">
        <v>11297.67</v>
      </c>
      <c r="E51" s="3"/>
      <c r="F51" s="7">
        <f t="shared" si="34"/>
        <v>0.573418548383413</v>
      </c>
      <c r="G51" s="3"/>
      <c r="H51" s="8">
        <v>17621.34</v>
      </c>
      <c r="I51" s="3"/>
      <c r="J51" s="7">
        <f t="shared" si="35"/>
        <v>18.074837677324062</v>
      </c>
      <c r="K51" s="3"/>
      <c r="L51" s="8">
        <f t="shared" si="36"/>
        <v>-6323.67</v>
      </c>
      <c r="M51" s="3"/>
      <c r="N51" s="7">
        <f t="shared" si="37"/>
        <v>-0.35886430884370885</v>
      </c>
      <c r="O51" s="12"/>
      <c r="P51" s="8">
        <v>11297.67</v>
      </c>
      <c r="Q51" s="3"/>
      <c r="R51" s="7">
        <f t="shared" si="38"/>
        <v>0.573418548383413</v>
      </c>
      <c r="S51" s="3"/>
      <c r="T51" s="8">
        <v>17621.34</v>
      </c>
      <c r="U51" s="3"/>
      <c r="V51" s="7">
        <f t="shared" si="39"/>
        <v>18.074837677324062</v>
      </c>
      <c r="W51" s="3"/>
      <c r="X51" s="8">
        <f t="shared" si="40"/>
        <v>-6323.67</v>
      </c>
      <c r="Y51" s="3"/>
      <c r="Z51" s="7">
        <f t="shared" si="41"/>
        <v>-0.35886430884370885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467.93</v>
      </c>
      <c r="E52" s="1"/>
      <c r="F52" s="5">
        <f t="shared" ref="F52:F64" si="42">IF(D$12=0,0,D52/D$12)</f>
        <v>2.3750006978877098E-2</v>
      </c>
      <c r="G52" s="1"/>
      <c r="H52" s="1">
        <f>SUM(OSRRefH22_6x_0)</f>
        <v>868.95</v>
      </c>
      <c r="I52" s="1"/>
      <c r="J52" s="5">
        <f t="shared" ref="J52:J64" si="43">IF(H$12=0,0,H52/H$12)</f>
        <v>0.89131304428101066</v>
      </c>
      <c r="K52" s="1"/>
      <c r="L52" s="1">
        <f t="shared" ref="L52:L64" si="44">+D52-H52</f>
        <v>-401.02000000000004</v>
      </c>
      <c r="M52" s="1"/>
      <c r="N52" s="5">
        <f t="shared" ref="N52:N64" si="45">IF(H52=0,0,L52/H52)</f>
        <v>-0.46149951090396457</v>
      </c>
      <c r="O52" s="14"/>
      <c r="P52" s="1">
        <f>SUM(OSRRefP22_6x_0)</f>
        <v>467.93</v>
      </c>
      <c r="Q52" s="1"/>
      <c r="R52" s="5">
        <f t="shared" ref="R52:R64" si="46">IF(P$12=0,0,P52/P$12)</f>
        <v>2.3750006978877098E-2</v>
      </c>
      <c r="S52" s="1"/>
      <c r="T52" s="1">
        <f>SUM(OSRRefT22_6x_0)</f>
        <v>868.95</v>
      </c>
      <c r="U52" s="1"/>
      <c r="V52" s="5">
        <f t="shared" ref="V52:V64" si="47">IF(T$12=0,0,T52/T$12)</f>
        <v>0.89131304428101066</v>
      </c>
      <c r="W52" s="1"/>
      <c r="X52" s="1">
        <f t="shared" ref="X52:X64" si="48">+P52-T52</f>
        <v>-401.02000000000004</v>
      </c>
      <c r="Y52" s="1"/>
      <c r="Z52" s="5">
        <f t="shared" ref="Z52:Z64" si="49">IF(T52=0,0,X52/T52)</f>
        <v>-0.46149951090396457</v>
      </c>
    </row>
    <row r="53" spans="1:26" s="24" customFormat="1" hidden="1" outlineLevel="2" x14ac:dyDescent="0.3">
      <c r="A53" s="27"/>
      <c r="B53" s="12" t="str">
        <f>CONCATENATE("          ", "6351", " - ", "EQUIPMENT RENTAL")</f>
        <v xml:space="preserve">          6351 - EQUIPMENT RENTAL</v>
      </c>
      <c r="C53" s="12"/>
      <c r="D53" s="8">
        <v>467.93</v>
      </c>
      <c r="E53" s="3"/>
      <c r="F53" s="7">
        <f t="shared" si="42"/>
        <v>2.3750006978877098E-2</v>
      </c>
      <c r="G53" s="3"/>
      <c r="H53" s="8">
        <v>868.95</v>
      </c>
      <c r="I53" s="3"/>
      <c r="J53" s="7">
        <f t="shared" si="43"/>
        <v>0.89131304428101066</v>
      </c>
      <c r="K53" s="3"/>
      <c r="L53" s="8">
        <f t="shared" si="44"/>
        <v>-401.02000000000004</v>
      </c>
      <c r="M53" s="3"/>
      <c r="N53" s="7">
        <f t="shared" si="45"/>
        <v>-0.46149951090396457</v>
      </c>
      <c r="O53" s="12"/>
      <c r="P53" s="8">
        <v>467.93</v>
      </c>
      <c r="Q53" s="3"/>
      <c r="R53" s="7">
        <f t="shared" si="46"/>
        <v>2.3750006978877098E-2</v>
      </c>
      <c r="S53" s="3"/>
      <c r="T53" s="8">
        <v>868.95</v>
      </c>
      <c r="U53" s="3"/>
      <c r="V53" s="7">
        <f t="shared" si="47"/>
        <v>0.89131304428101066</v>
      </c>
      <c r="W53" s="3"/>
      <c r="X53" s="8">
        <f t="shared" si="48"/>
        <v>-401.02000000000004</v>
      </c>
      <c r="Y53" s="3"/>
      <c r="Z53" s="7">
        <f t="shared" si="49"/>
        <v>-0.46149951090396457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165.28</v>
      </c>
      <c r="E54" s="1"/>
      <c r="F54" s="5">
        <f t="shared" si="42"/>
        <v>8.3888640469061762E-3</v>
      </c>
      <c r="G54" s="1"/>
      <c r="H54" s="1">
        <f>SUM(OSRRefH22_7x_0)</f>
        <v>5832.3</v>
      </c>
      <c r="I54" s="1"/>
      <c r="J54" s="5">
        <f t="shared" si="43"/>
        <v>5.982398375234637</v>
      </c>
      <c r="K54" s="1"/>
      <c r="L54" s="1">
        <f t="shared" si="44"/>
        <v>-5667.02</v>
      </c>
      <c r="M54" s="1"/>
      <c r="N54" s="5">
        <f t="shared" si="45"/>
        <v>-0.97166126570992584</v>
      </c>
      <c r="O54" s="14"/>
      <c r="P54" s="1">
        <f>SUM(OSRRefP22_7x_0)</f>
        <v>165.28</v>
      </c>
      <c r="Q54" s="1"/>
      <c r="R54" s="5">
        <f t="shared" si="46"/>
        <v>8.3888640469061762E-3</v>
      </c>
      <c r="S54" s="1"/>
      <c r="T54" s="1">
        <f>SUM(OSRRefT22_7x_0)</f>
        <v>5832.3</v>
      </c>
      <c r="U54" s="1"/>
      <c r="V54" s="5">
        <f t="shared" si="47"/>
        <v>5.982398375234637</v>
      </c>
      <c r="W54" s="1"/>
      <c r="X54" s="1">
        <f t="shared" si="48"/>
        <v>-5667.02</v>
      </c>
      <c r="Y54" s="1"/>
      <c r="Z54" s="5">
        <f t="shared" si="49"/>
        <v>-0.97166126570992584</v>
      </c>
    </row>
    <row r="55" spans="1:26" s="24" customFormat="1" hidden="1" outlineLevel="2" x14ac:dyDescent="0.3">
      <c r="A55" s="27"/>
      <c r="B55" s="12" t="str">
        <f>CONCATENATE("          ", "6279", " - ", "GENERAL EXPENSE")</f>
        <v xml:space="preserve">          6279 - GENERAL EXPENSE</v>
      </c>
      <c r="C55" s="12"/>
      <c r="D55" s="8">
        <v>165.28</v>
      </c>
      <c r="E55" s="3"/>
      <c r="F55" s="7">
        <f t="shared" si="42"/>
        <v>8.3888640469061762E-3</v>
      </c>
      <c r="G55" s="3"/>
      <c r="H55" s="8">
        <v>5832.3</v>
      </c>
      <c r="I55" s="3"/>
      <c r="J55" s="7">
        <f t="shared" si="43"/>
        <v>5.982398375234637</v>
      </c>
      <c r="K55" s="3"/>
      <c r="L55" s="8">
        <f t="shared" si="44"/>
        <v>-5667.02</v>
      </c>
      <c r="M55" s="3"/>
      <c r="N55" s="7">
        <f t="shared" si="45"/>
        <v>-0.97166126570992584</v>
      </c>
      <c r="O55" s="12"/>
      <c r="P55" s="8">
        <v>165.28</v>
      </c>
      <c r="Q55" s="3"/>
      <c r="R55" s="7">
        <f t="shared" si="46"/>
        <v>8.3888640469061762E-3</v>
      </c>
      <c r="S55" s="3"/>
      <c r="T55" s="8">
        <v>5832.3</v>
      </c>
      <c r="U55" s="3"/>
      <c r="V55" s="7">
        <f t="shared" si="47"/>
        <v>5.982398375234637</v>
      </c>
      <c r="W55" s="3"/>
      <c r="X55" s="8">
        <f t="shared" si="48"/>
        <v>-5667.02</v>
      </c>
      <c r="Y55" s="3"/>
      <c r="Z55" s="7">
        <f t="shared" si="49"/>
        <v>-0.97166126570992584</v>
      </c>
    </row>
    <row r="56" spans="1:26" s="29" customFormat="1" outlineLevel="1" collapsed="1" x14ac:dyDescent="0.3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SUM(OSRRefD22_8x_0)</f>
        <v>6087.22</v>
      </c>
      <c r="E56" s="1"/>
      <c r="F56" s="5">
        <f t="shared" si="42"/>
        <v>0.30895971081563539</v>
      </c>
      <c r="G56" s="1"/>
      <c r="H56" s="1">
        <f>SUM(OSRRefH22_8x_0)</f>
        <v>4483.67</v>
      </c>
      <c r="I56" s="1"/>
      <c r="J56" s="5">
        <f t="shared" si="43"/>
        <v>4.5990604260906141</v>
      </c>
      <c r="K56" s="1"/>
      <c r="L56" s="1">
        <f t="shared" si="44"/>
        <v>1603.5500000000002</v>
      </c>
      <c r="M56" s="1"/>
      <c r="N56" s="5">
        <f t="shared" si="45"/>
        <v>0.35764228857163888</v>
      </c>
      <c r="O56" s="14"/>
      <c r="P56" s="1">
        <f>SUM(OSRRefP22_8x_0)</f>
        <v>6087.22</v>
      </c>
      <c r="Q56" s="1"/>
      <c r="R56" s="5">
        <f t="shared" si="46"/>
        <v>0.30895971081563539</v>
      </c>
      <c r="S56" s="1"/>
      <c r="T56" s="1">
        <f>SUM(OSRRefT22_8x_0)</f>
        <v>4483.67</v>
      </c>
      <c r="U56" s="1"/>
      <c r="V56" s="5">
        <f t="shared" si="47"/>
        <v>4.5990604260906141</v>
      </c>
      <c r="W56" s="1"/>
      <c r="X56" s="1">
        <f t="shared" si="48"/>
        <v>1603.5500000000002</v>
      </c>
      <c r="Y56" s="1"/>
      <c r="Z56" s="5">
        <f t="shared" si="49"/>
        <v>0.35764228857163888</v>
      </c>
    </row>
    <row r="57" spans="1:26" s="24" customFormat="1" hidden="1" outlineLevel="2" x14ac:dyDescent="0.3">
      <c r="A57" s="27"/>
      <c r="B57" s="12" t="str">
        <f>CONCATENATE("          ", "6314", " - ", "LIABILITY INSURANCE")</f>
        <v xml:space="preserve">          6314 - LIABILITY INSURANCE</v>
      </c>
      <c r="C57" s="12"/>
      <c r="D57" s="8">
        <v>6087.22</v>
      </c>
      <c r="E57" s="3"/>
      <c r="F57" s="7">
        <f t="shared" si="42"/>
        <v>0.30895971081563539</v>
      </c>
      <c r="G57" s="3"/>
      <c r="H57" s="8">
        <v>4483.67</v>
      </c>
      <c r="I57" s="3"/>
      <c r="J57" s="7">
        <f t="shared" si="43"/>
        <v>4.5990604260906141</v>
      </c>
      <c r="K57" s="3"/>
      <c r="L57" s="8">
        <f t="shared" si="44"/>
        <v>1603.5500000000002</v>
      </c>
      <c r="M57" s="3"/>
      <c r="N57" s="7">
        <f t="shared" si="45"/>
        <v>0.35764228857163888</v>
      </c>
      <c r="O57" s="12"/>
      <c r="P57" s="8">
        <v>6087.22</v>
      </c>
      <c r="Q57" s="3"/>
      <c r="R57" s="7">
        <f t="shared" si="46"/>
        <v>0.30895971081563539</v>
      </c>
      <c r="S57" s="3"/>
      <c r="T57" s="8">
        <v>4483.67</v>
      </c>
      <c r="U57" s="3"/>
      <c r="V57" s="7">
        <f t="shared" si="47"/>
        <v>4.5990604260906141</v>
      </c>
      <c r="W57" s="3"/>
      <c r="X57" s="8">
        <f t="shared" si="48"/>
        <v>1603.5500000000002</v>
      </c>
      <c r="Y57" s="3"/>
      <c r="Z57" s="7">
        <f t="shared" si="49"/>
        <v>0.35764228857163888</v>
      </c>
    </row>
    <row r="58" spans="1:26" s="29" customFormat="1" outlineLevel="1" collapsed="1" x14ac:dyDescent="0.3">
      <c r="A58" s="28"/>
      <c r="B58" s="14" t="str">
        <f>CONCATENATE("     ","Interest                                          ")</f>
        <v xml:space="preserve">     Interest                                          </v>
      </c>
      <c r="C58" s="14"/>
      <c r="D58" s="1">
        <f>SUM(OSRRefD22_9x_0)</f>
        <v>11158</v>
      </c>
      <c r="E58" s="1"/>
      <c r="F58" s="5">
        <f t="shared" si="42"/>
        <v>0.56632953191783098</v>
      </c>
      <c r="G58" s="1"/>
      <c r="H58" s="1">
        <f>SUM(OSRRefH22_9x_0)</f>
        <v>11554</v>
      </c>
      <c r="I58" s="1"/>
      <c r="J58" s="5">
        <f t="shared" si="43"/>
        <v>11.851350381060817</v>
      </c>
      <c r="K58" s="1"/>
      <c r="L58" s="1">
        <f t="shared" si="44"/>
        <v>-396</v>
      </c>
      <c r="M58" s="1"/>
      <c r="N58" s="5">
        <f t="shared" si="45"/>
        <v>-3.4273844555997926E-2</v>
      </c>
      <c r="O58" s="14"/>
      <c r="P58" s="1">
        <f>SUM(OSRRefP22_9x_0)</f>
        <v>11158</v>
      </c>
      <c r="Q58" s="1"/>
      <c r="R58" s="5">
        <f t="shared" si="46"/>
        <v>0.56632953191783098</v>
      </c>
      <c r="S58" s="1"/>
      <c r="T58" s="1">
        <f>SUM(OSRRefT22_9x_0)</f>
        <v>11554</v>
      </c>
      <c r="U58" s="1"/>
      <c r="V58" s="5">
        <f t="shared" si="47"/>
        <v>11.851350381060817</v>
      </c>
      <c r="W58" s="1"/>
      <c r="X58" s="1">
        <f t="shared" si="48"/>
        <v>-396</v>
      </c>
      <c r="Y58" s="1"/>
      <c r="Z58" s="5">
        <f t="shared" si="49"/>
        <v>-3.4273844555997926E-2</v>
      </c>
    </row>
    <row r="59" spans="1:26" s="24" customFormat="1" hidden="1" outlineLevel="2" x14ac:dyDescent="0.3">
      <c r="A59" s="27"/>
      <c r="B59" s="12" t="str">
        <f>CONCATENATE("          ", "6401", " - ", "INTEREST EXPENSE")</f>
        <v xml:space="preserve">          6401 - INTEREST EXPENSE</v>
      </c>
      <c r="C59" s="12"/>
      <c r="D59" s="8">
        <v>11158</v>
      </c>
      <c r="E59" s="3"/>
      <c r="F59" s="7">
        <f t="shared" si="42"/>
        <v>0.56632953191783098</v>
      </c>
      <c r="G59" s="3"/>
      <c r="H59" s="8">
        <v>11554</v>
      </c>
      <c r="I59" s="3"/>
      <c r="J59" s="7">
        <f t="shared" si="43"/>
        <v>11.851350381060817</v>
      </c>
      <c r="K59" s="3"/>
      <c r="L59" s="8">
        <f t="shared" si="44"/>
        <v>-396</v>
      </c>
      <c r="M59" s="3"/>
      <c r="N59" s="7">
        <f t="shared" si="45"/>
        <v>-3.4273844555997926E-2</v>
      </c>
      <c r="O59" s="12"/>
      <c r="P59" s="8">
        <v>11158</v>
      </c>
      <c r="Q59" s="3"/>
      <c r="R59" s="7">
        <f t="shared" si="46"/>
        <v>0.56632953191783098</v>
      </c>
      <c r="S59" s="3"/>
      <c r="T59" s="8">
        <v>11554</v>
      </c>
      <c r="U59" s="3"/>
      <c r="V59" s="7">
        <f t="shared" si="47"/>
        <v>11.851350381060817</v>
      </c>
      <c r="W59" s="3"/>
      <c r="X59" s="8">
        <f t="shared" si="48"/>
        <v>-396</v>
      </c>
      <c r="Y59" s="3"/>
      <c r="Z59" s="7">
        <f t="shared" si="49"/>
        <v>-3.4273844555997926E-2</v>
      </c>
    </row>
    <row r="60" spans="1:26" s="29" customFormat="1" outlineLevel="1" collapsed="1" x14ac:dyDescent="0.3">
      <c r="A60" s="28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SUM(OSRRefD22_10x_0)</f>
        <v>1850</v>
      </c>
      <c r="E60" s="1"/>
      <c r="F60" s="5">
        <f t="shared" si="42"/>
        <v>9.3897619111667621E-2</v>
      </c>
      <c r="G60" s="1"/>
      <c r="H60" s="1">
        <f>SUM(OSRRefH22_10x_0)</f>
        <v>0</v>
      </c>
      <c r="I60" s="1"/>
      <c r="J60" s="5">
        <f t="shared" si="43"/>
        <v>0</v>
      </c>
      <c r="K60" s="1"/>
      <c r="L60" s="1">
        <f t="shared" si="44"/>
        <v>1850</v>
      </c>
      <c r="M60" s="1"/>
      <c r="N60" s="5">
        <f t="shared" si="45"/>
        <v>0</v>
      </c>
      <c r="O60" s="14"/>
      <c r="P60" s="1">
        <f>SUM(OSRRefP22_10x_0)</f>
        <v>1850</v>
      </c>
      <c r="Q60" s="1"/>
      <c r="R60" s="5">
        <f t="shared" si="46"/>
        <v>9.3897619111667621E-2</v>
      </c>
      <c r="S60" s="1"/>
      <c r="T60" s="1">
        <f>SUM(OSRRefT22_10x_0)</f>
        <v>0</v>
      </c>
      <c r="U60" s="1"/>
      <c r="V60" s="5">
        <f t="shared" si="47"/>
        <v>0</v>
      </c>
      <c r="W60" s="1"/>
      <c r="X60" s="1">
        <f t="shared" si="48"/>
        <v>1850</v>
      </c>
      <c r="Y60" s="1"/>
      <c r="Z60" s="5">
        <f t="shared" si="49"/>
        <v>0</v>
      </c>
    </row>
    <row r="61" spans="1:26" s="24" customFormat="1" hidden="1" outlineLevel="2" x14ac:dyDescent="0.3">
      <c r="A61" s="27"/>
      <c r="B61" s="12" t="str">
        <f>CONCATENATE("          ", "6273", " - ", "RENT")</f>
        <v xml:space="preserve">          6273 - RENT</v>
      </c>
      <c r="C61" s="12"/>
      <c r="D61" s="8">
        <v>1850</v>
      </c>
      <c r="E61" s="3"/>
      <c r="F61" s="7">
        <f t="shared" si="42"/>
        <v>9.3897619111667621E-2</v>
      </c>
      <c r="G61" s="3"/>
      <c r="H61" s="8"/>
      <c r="I61" s="3"/>
      <c r="J61" s="7">
        <f t="shared" si="43"/>
        <v>0</v>
      </c>
      <c r="K61" s="3"/>
      <c r="L61" s="8">
        <f t="shared" si="44"/>
        <v>1850</v>
      </c>
      <c r="M61" s="3"/>
      <c r="N61" s="7">
        <f t="shared" si="45"/>
        <v>0</v>
      </c>
      <c r="O61" s="12"/>
      <c r="P61" s="8">
        <v>1850</v>
      </c>
      <c r="Q61" s="3"/>
      <c r="R61" s="7">
        <f t="shared" si="46"/>
        <v>9.3897619111667621E-2</v>
      </c>
      <c r="S61" s="3"/>
      <c r="T61" s="8"/>
      <c r="U61" s="3"/>
      <c r="V61" s="7">
        <f t="shared" si="47"/>
        <v>0</v>
      </c>
      <c r="W61" s="3"/>
      <c r="X61" s="8">
        <f t="shared" si="48"/>
        <v>1850</v>
      </c>
      <c r="Y61" s="3"/>
      <c r="Z61" s="7">
        <f t="shared" si="49"/>
        <v>0</v>
      </c>
    </row>
    <row r="62" spans="1:26" s="29" customFormat="1" outlineLevel="1" collapsed="1" x14ac:dyDescent="0.3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SUM(OSRRefD22_11x_0)</f>
        <v>3131.71</v>
      </c>
      <c r="E62" s="1"/>
      <c r="F62" s="5">
        <f t="shared" si="42"/>
        <v>0.15895141229632467</v>
      </c>
      <c r="G62" s="1"/>
      <c r="H62" s="1">
        <f>SUM(OSRRefH22_11x_0)</f>
        <v>4224.41</v>
      </c>
      <c r="I62" s="1"/>
      <c r="J62" s="5">
        <f t="shared" si="43"/>
        <v>4.333128186191546</v>
      </c>
      <c r="K62" s="1"/>
      <c r="L62" s="1">
        <f t="shared" si="44"/>
        <v>-1092.6999999999998</v>
      </c>
      <c r="M62" s="1"/>
      <c r="N62" s="5">
        <f t="shared" si="45"/>
        <v>-0.25866333996936847</v>
      </c>
      <c r="O62" s="14"/>
      <c r="P62" s="1">
        <f>SUM(OSRRefP22_11x_0)</f>
        <v>3131.71</v>
      </c>
      <c r="Q62" s="1"/>
      <c r="R62" s="5">
        <f t="shared" si="46"/>
        <v>0.15895141229632467</v>
      </c>
      <c r="S62" s="1"/>
      <c r="T62" s="1">
        <f>SUM(OSRRefT22_11x_0)</f>
        <v>4224.41</v>
      </c>
      <c r="U62" s="1"/>
      <c r="V62" s="5">
        <f t="shared" si="47"/>
        <v>4.333128186191546</v>
      </c>
      <c r="W62" s="1"/>
      <c r="X62" s="1">
        <f t="shared" si="48"/>
        <v>-1092.6999999999998</v>
      </c>
      <c r="Y62" s="1"/>
      <c r="Z62" s="5">
        <f t="shared" si="49"/>
        <v>-0.25866333996936847</v>
      </c>
    </row>
    <row r="63" spans="1:26" s="24" customFormat="1" hidden="1" outlineLevel="2" x14ac:dyDescent="0.3">
      <c r="A63" s="27"/>
      <c r="B63" s="12" t="str">
        <f>CONCATENATE("          ", "6373", " - ", "MAINTENANCE CONTRACTS")</f>
        <v xml:space="preserve">          6373 - MAINTENANCE CONTRACTS</v>
      </c>
      <c r="C63" s="12"/>
      <c r="D63" s="8">
        <v>0.87</v>
      </c>
      <c r="E63" s="3"/>
      <c r="F63" s="7">
        <f t="shared" si="42"/>
        <v>4.415725871737883E-5</v>
      </c>
      <c r="G63" s="3"/>
      <c r="H63" s="8">
        <v>2353.59</v>
      </c>
      <c r="I63" s="3"/>
      <c r="J63" s="7">
        <f t="shared" si="43"/>
        <v>2.4141613071975878</v>
      </c>
      <c r="K63" s="3"/>
      <c r="L63" s="8">
        <f t="shared" si="44"/>
        <v>-2352.7200000000003</v>
      </c>
      <c r="M63" s="3"/>
      <c r="N63" s="7">
        <f t="shared" si="45"/>
        <v>-0.99963035193045524</v>
      </c>
      <c r="O63" s="12"/>
      <c r="P63" s="8">
        <v>0.87</v>
      </c>
      <c r="Q63" s="3"/>
      <c r="R63" s="7">
        <f t="shared" si="46"/>
        <v>4.415725871737883E-5</v>
      </c>
      <c r="S63" s="3"/>
      <c r="T63" s="8">
        <v>2353.59</v>
      </c>
      <c r="U63" s="3"/>
      <c r="V63" s="7">
        <f t="shared" si="47"/>
        <v>2.4141613071975878</v>
      </c>
      <c r="W63" s="3"/>
      <c r="X63" s="8">
        <f t="shared" si="48"/>
        <v>-2352.7200000000003</v>
      </c>
      <c r="Y63" s="3"/>
      <c r="Z63" s="7">
        <f t="shared" si="49"/>
        <v>-0.99963035193045524</v>
      </c>
    </row>
    <row r="64" spans="1:26" s="24" customFormat="1" hidden="1" outlineLevel="2" x14ac:dyDescent="0.3">
      <c r="A64" s="27"/>
      <c r="B64" s="12" t="str">
        <f>CONCATENATE("          ", "6375", " - ", "OUTSIDE REPAIRS &amp; MAINTENANCE")</f>
        <v xml:space="preserve">          6375 - OUTSIDE REPAIRS &amp; MAINTENANCE</v>
      </c>
      <c r="C64" s="12"/>
      <c r="D64" s="8">
        <v>3130.84</v>
      </c>
      <c r="E64" s="3"/>
      <c r="F64" s="7">
        <f t="shared" si="42"/>
        <v>0.1589072550376073</v>
      </c>
      <c r="G64" s="3"/>
      <c r="H64" s="8">
        <v>1870.82</v>
      </c>
      <c r="I64" s="3"/>
      <c r="J64" s="7">
        <f t="shared" si="43"/>
        <v>1.9189668789939585</v>
      </c>
      <c r="K64" s="3"/>
      <c r="L64" s="8">
        <f t="shared" si="44"/>
        <v>1260.0200000000002</v>
      </c>
      <c r="M64" s="3"/>
      <c r="N64" s="7">
        <f t="shared" si="45"/>
        <v>0.67351214975251505</v>
      </c>
      <c r="O64" s="12"/>
      <c r="P64" s="8">
        <v>3130.84</v>
      </c>
      <c r="Q64" s="3"/>
      <c r="R64" s="7">
        <f t="shared" si="46"/>
        <v>0.1589072550376073</v>
      </c>
      <c r="S64" s="3"/>
      <c r="T64" s="8">
        <v>1870.82</v>
      </c>
      <c r="U64" s="3"/>
      <c r="V64" s="7">
        <f t="shared" si="47"/>
        <v>1.9189668789939585</v>
      </c>
      <c r="W64" s="3"/>
      <c r="X64" s="8">
        <f t="shared" si="48"/>
        <v>1260.0200000000002</v>
      </c>
      <c r="Y64" s="3"/>
      <c r="Z64" s="7">
        <f t="shared" si="49"/>
        <v>0.67351214975251505</v>
      </c>
    </row>
    <row r="65" spans="1:26" s="29" customFormat="1" outlineLevel="1" collapsed="1" x14ac:dyDescent="0.3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SUM(OSRRefD22_12x_0)</f>
        <v>4741.08</v>
      </c>
      <c r="E65" s="1"/>
      <c r="F65" s="5">
        <f t="shared" ref="F65:F69" si="50">IF(D$12=0,0,D65/D$12)</f>
        <v>0.24063574271240279</v>
      </c>
      <c r="G65" s="1"/>
      <c r="H65" s="1">
        <f>SUM(OSRRefH22_12x_0)</f>
        <v>802.59999999999991</v>
      </c>
      <c r="I65" s="1"/>
      <c r="J65" s="5">
        <f t="shared" ref="J65:J69" si="51">IF(H$12=0,0,H65/H$12)</f>
        <v>0.82325547999302495</v>
      </c>
      <c r="K65" s="1"/>
      <c r="L65" s="1">
        <f t="shared" ref="L65:L69" si="52">+D65-H65</f>
        <v>3938.48</v>
      </c>
      <c r="M65" s="1"/>
      <c r="N65" s="5">
        <f t="shared" ref="N65:N69" si="53">IF(H65=0,0,L65/H65)</f>
        <v>4.9071517567904319</v>
      </c>
      <c r="O65" s="14"/>
      <c r="P65" s="1">
        <f>SUM(OSRRefP22_12x_0)</f>
        <v>4741.08</v>
      </c>
      <c r="Q65" s="1"/>
      <c r="R65" s="5">
        <f t="shared" ref="R65:R69" si="54">IF(P$12=0,0,P65/P$12)</f>
        <v>0.24063574271240279</v>
      </c>
      <c r="S65" s="1"/>
      <c r="T65" s="1">
        <f>SUM(OSRRefT22_12x_0)</f>
        <v>802.59999999999991</v>
      </c>
      <c r="U65" s="1"/>
      <c r="V65" s="5">
        <f t="shared" ref="V65:V69" si="55">IF(T$12=0,0,T65/T$12)</f>
        <v>0.82325547999302495</v>
      </c>
      <c r="W65" s="1"/>
      <c r="X65" s="1">
        <f t="shared" ref="X65:X69" si="56">+P65-T65</f>
        <v>3938.48</v>
      </c>
      <c r="Y65" s="1"/>
      <c r="Z65" s="5">
        <f t="shared" ref="Z65:Z69" si="57">IF(T65=0,0,X65/T65)</f>
        <v>4.9071517567904319</v>
      </c>
    </row>
    <row r="66" spans="1:26" s="24" customFormat="1" hidden="1" outlineLevel="2" x14ac:dyDescent="0.3">
      <c r="A66" s="27"/>
      <c r="B66" s="12" t="str">
        <f>CONCATENATE("          ", "6282", " - ", "JANITORIAL/EXTERMINATOR EXPENS")</f>
        <v xml:space="preserve">          6282 - JANITORIAL/EXTERMINATOR EXPENS</v>
      </c>
      <c r="C66" s="12"/>
      <c r="D66" s="8">
        <v>821.95</v>
      </c>
      <c r="E66" s="3"/>
      <c r="F66" s="7">
        <f t="shared" si="50"/>
        <v>4.1718458393964979E-2</v>
      </c>
      <c r="G66" s="3"/>
      <c r="H66" s="8">
        <v>286.62</v>
      </c>
      <c r="I66" s="3"/>
      <c r="J66" s="7">
        <f t="shared" si="51"/>
        <v>0.29399636889559039</v>
      </c>
      <c r="K66" s="3"/>
      <c r="L66" s="8">
        <f t="shared" si="52"/>
        <v>535.33000000000004</v>
      </c>
      <c r="M66" s="3"/>
      <c r="N66" s="7">
        <f t="shared" si="53"/>
        <v>1.8677342823250298</v>
      </c>
      <c r="O66" s="12"/>
      <c r="P66" s="8">
        <v>821.95</v>
      </c>
      <c r="Q66" s="3"/>
      <c r="R66" s="7">
        <f t="shared" si="54"/>
        <v>4.1718458393964979E-2</v>
      </c>
      <c r="S66" s="3"/>
      <c r="T66" s="8">
        <v>286.62</v>
      </c>
      <c r="U66" s="3"/>
      <c r="V66" s="7">
        <f t="shared" si="55"/>
        <v>0.29399636889559039</v>
      </c>
      <c r="W66" s="3"/>
      <c r="X66" s="8">
        <f t="shared" si="56"/>
        <v>535.33000000000004</v>
      </c>
      <c r="Y66" s="3"/>
      <c r="Z66" s="7">
        <f t="shared" si="57"/>
        <v>1.8677342823250298</v>
      </c>
    </row>
    <row r="67" spans="1:26" s="24" customFormat="1" hidden="1" outlineLevel="2" x14ac:dyDescent="0.3">
      <c r="A67" s="27"/>
      <c r="B67" s="12" t="str">
        <f>CONCATENATE("          ", "6284", " - ", "TRASH REMOVAL EXPENSE")</f>
        <v xml:space="preserve">          6284 - TRASH REMOVAL EXPENSE</v>
      </c>
      <c r="C67" s="12"/>
      <c r="D67" s="8"/>
      <c r="E67" s="3"/>
      <c r="F67" s="7">
        <f t="shared" si="50"/>
        <v>0</v>
      </c>
      <c r="G67" s="3"/>
      <c r="H67" s="8">
        <v>1000</v>
      </c>
      <c r="I67" s="3"/>
      <c r="J67" s="7">
        <f t="shared" si="51"/>
        <v>1.0257357089372352</v>
      </c>
      <c r="K67" s="3"/>
      <c r="L67" s="8">
        <f t="shared" si="52"/>
        <v>-1000</v>
      </c>
      <c r="M67" s="3"/>
      <c r="N67" s="7">
        <f t="shared" si="53"/>
        <v>-1</v>
      </c>
      <c r="O67" s="12"/>
      <c r="P67" s="8"/>
      <c r="Q67" s="3"/>
      <c r="R67" s="7">
        <f t="shared" si="54"/>
        <v>0</v>
      </c>
      <c r="S67" s="3"/>
      <c r="T67" s="8">
        <v>1000</v>
      </c>
      <c r="U67" s="3"/>
      <c r="V67" s="7">
        <f t="shared" si="55"/>
        <v>1.0257357089372352</v>
      </c>
      <c r="W67" s="3"/>
      <c r="X67" s="8">
        <f t="shared" si="56"/>
        <v>-1000</v>
      </c>
      <c r="Y67" s="3"/>
      <c r="Z67" s="7">
        <f t="shared" si="57"/>
        <v>-1</v>
      </c>
    </row>
    <row r="68" spans="1:26" s="24" customFormat="1" hidden="1" outlineLevel="2" x14ac:dyDescent="0.3">
      <c r="A68" s="27"/>
      <c r="B68" s="12" t="str">
        <f>CONCATENATE("          ", "6285", " - ", "JANITORIAL SERVICES")</f>
        <v xml:space="preserve">          6285 - JANITORIAL SERVICES</v>
      </c>
      <c r="C68" s="12"/>
      <c r="D68" s="8">
        <v>3759.39</v>
      </c>
      <c r="E68" s="3"/>
      <c r="F68" s="7">
        <f t="shared" si="50"/>
        <v>0.19080960557416873</v>
      </c>
      <c r="G68" s="3"/>
      <c r="H68" s="8">
        <v>-804.6</v>
      </c>
      <c r="I68" s="3"/>
      <c r="J68" s="7">
        <f t="shared" si="51"/>
        <v>-0.82530695141089949</v>
      </c>
      <c r="K68" s="3"/>
      <c r="L68" s="8">
        <f t="shared" si="52"/>
        <v>4563.99</v>
      </c>
      <c r="M68" s="3"/>
      <c r="N68" s="7">
        <f t="shared" si="53"/>
        <v>-5.6723713646532437</v>
      </c>
      <c r="O68" s="12"/>
      <c r="P68" s="8">
        <v>3759.39</v>
      </c>
      <c r="Q68" s="3"/>
      <c r="R68" s="7">
        <f t="shared" si="54"/>
        <v>0.19080960557416873</v>
      </c>
      <c r="S68" s="3"/>
      <c r="T68" s="8">
        <v>-804.6</v>
      </c>
      <c r="U68" s="3"/>
      <c r="V68" s="7">
        <f t="shared" si="55"/>
        <v>-0.82530695141089949</v>
      </c>
      <c r="W68" s="3"/>
      <c r="X68" s="8">
        <f t="shared" si="56"/>
        <v>4563.99</v>
      </c>
      <c r="Y68" s="3"/>
      <c r="Z68" s="7">
        <f t="shared" si="57"/>
        <v>-5.6723713646532437</v>
      </c>
    </row>
    <row r="69" spans="1:26" s="24" customFormat="1" hidden="1" outlineLevel="2" x14ac:dyDescent="0.3">
      <c r="A69" s="27"/>
      <c r="B69" s="12" t="str">
        <f>CONCATENATE("          ", "6286", " - ", "LAUNDRY EXPENSE")</f>
        <v xml:space="preserve">          6286 - LAUNDRY EXPENSE</v>
      </c>
      <c r="C69" s="12"/>
      <c r="D69" s="8">
        <v>159.74</v>
      </c>
      <c r="E69" s="3"/>
      <c r="F69" s="7">
        <f t="shared" si="50"/>
        <v>8.1076787442690753E-3</v>
      </c>
      <c r="G69" s="3"/>
      <c r="H69" s="8">
        <v>320.58</v>
      </c>
      <c r="I69" s="3"/>
      <c r="J69" s="7">
        <f t="shared" si="51"/>
        <v>0.32883035357109885</v>
      </c>
      <c r="K69" s="3"/>
      <c r="L69" s="8">
        <f t="shared" si="52"/>
        <v>-160.83999999999997</v>
      </c>
      <c r="M69" s="3"/>
      <c r="N69" s="7">
        <f t="shared" si="53"/>
        <v>-0.50171564040177175</v>
      </c>
      <c r="O69" s="12"/>
      <c r="P69" s="8">
        <v>159.74</v>
      </c>
      <c r="Q69" s="3"/>
      <c r="R69" s="7">
        <f t="shared" si="54"/>
        <v>8.1076787442690753E-3</v>
      </c>
      <c r="S69" s="3"/>
      <c r="T69" s="8">
        <v>320.58</v>
      </c>
      <c r="U69" s="3"/>
      <c r="V69" s="7">
        <f t="shared" si="55"/>
        <v>0.32883035357109885</v>
      </c>
      <c r="W69" s="3"/>
      <c r="X69" s="8">
        <f t="shared" si="56"/>
        <v>-160.83999999999997</v>
      </c>
      <c r="Y69" s="3"/>
      <c r="Z69" s="7">
        <f t="shared" si="57"/>
        <v>-0.50171564040177175</v>
      </c>
    </row>
    <row r="70" spans="1:26" s="29" customFormat="1" outlineLevel="1" collapsed="1" x14ac:dyDescent="0.3">
      <c r="A70" s="28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SUM(OSRRefD22_13x_0)</f>
        <v>130.66999999999999</v>
      </c>
      <c r="E70" s="1"/>
      <c r="F70" s="5">
        <f t="shared" ref="F70:F77" si="58">IF(D$12=0,0,D70/D$12)</f>
        <v>6.6322172374711393E-3</v>
      </c>
      <c r="G70" s="1"/>
      <c r="H70" s="1">
        <f>SUM(OSRRefH22_13x_0)</f>
        <v>9.32</v>
      </c>
      <c r="I70" s="1"/>
      <c r="J70" s="5">
        <f t="shared" ref="J70:J77" si="59">IF(H$12=0,0,H70/H$12)</f>
        <v>9.5598568072950332E-3</v>
      </c>
      <c r="K70" s="1"/>
      <c r="L70" s="1">
        <f t="shared" ref="L70:L77" si="60">+D70-H70</f>
        <v>121.35</v>
      </c>
      <c r="M70" s="1"/>
      <c r="N70" s="5">
        <f t="shared" ref="N70:N77" si="61">IF(H70=0,0,L70/H70)</f>
        <v>13.02038626609442</v>
      </c>
      <c r="O70" s="14"/>
      <c r="P70" s="1">
        <f>SUM(OSRRefP22_13x_0)</f>
        <v>130.66999999999999</v>
      </c>
      <c r="Q70" s="1"/>
      <c r="R70" s="5">
        <f t="shared" ref="R70:R77" si="62">IF(P$12=0,0,P70/P$12)</f>
        <v>6.6322172374711393E-3</v>
      </c>
      <c r="S70" s="1"/>
      <c r="T70" s="1">
        <f>SUM(OSRRefT22_13x_0)</f>
        <v>9.32</v>
      </c>
      <c r="U70" s="1"/>
      <c r="V70" s="5">
        <f t="shared" ref="V70:V77" si="63">IF(T$12=0,0,T70/T$12)</f>
        <v>9.5598568072950332E-3</v>
      </c>
      <c r="W70" s="1"/>
      <c r="X70" s="1">
        <f t="shared" ref="X70:X77" si="64">+P70-T70</f>
        <v>121.35</v>
      </c>
      <c r="Y70" s="1"/>
      <c r="Z70" s="5">
        <f t="shared" ref="Z70:Z77" si="65">IF(T70=0,0,X70/T70)</f>
        <v>13.02038626609442</v>
      </c>
    </row>
    <row r="71" spans="1:26" s="24" customFormat="1" hidden="1" outlineLevel="2" x14ac:dyDescent="0.3">
      <c r="A71" s="27"/>
      <c r="B71" s="12" t="str">
        <f>CONCATENATE("          ", "6275", " - ", "SUBSCRIPTIONS")</f>
        <v xml:space="preserve">          6275 - SUBSCRIPTIONS</v>
      </c>
      <c r="C71" s="12"/>
      <c r="D71" s="8">
        <v>130.66999999999999</v>
      </c>
      <c r="E71" s="3"/>
      <c r="F71" s="7">
        <f t="shared" si="58"/>
        <v>6.6322172374711393E-3</v>
      </c>
      <c r="G71" s="3"/>
      <c r="H71" s="8">
        <v>9.32</v>
      </c>
      <c r="I71" s="3"/>
      <c r="J71" s="7">
        <f t="shared" si="59"/>
        <v>9.5598568072950332E-3</v>
      </c>
      <c r="K71" s="3"/>
      <c r="L71" s="8">
        <f t="shared" si="60"/>
        <v>121.35</v>
      </c>
      <c r="M71" s="3"/>
      <c r="N71" s="7">
        <f t="shared" si="61"/>
        <v>13.02038626609442</v>
      </c>
      <c r="O71" s="12"/>
      <c r="P71" s="8">
        <v>130.66999999999999</v>
      </c>
      <c r="Q71" s="3"/>
      <c r="R71" s="7">
        <f t="shared" si="62"/>
        <v>6.6322172374711393E-3</v>
      </c>
      <c r="S71" s="3"/>
      <c r="T71" s="8">
        <v>9.32</v>
      </c>
      <c r="U71" s="3"/>
      <c r="V71" s="7">
        <f t="shared" si="63"/>
        <v>9.5598568072950332E-3</v>
      </c>
      <c r="W71" s="3"/>
      <c r="X71" s="8">
        <f t="shared" si="64"/>
        <v>121.35</v>
      </c>
      <c r="Y71" s="3"/>
      <c r="Z71" s="7">
        <f t="shared" si="65"/>
        <v>13.02038626609442</v>
      </c>
    </row>
    <row r="72" spans="1:26" s="29" customFormat="1" outlineLevel="1" collapsed="1" x14ac:dyDescent="0.3">
      <c r="A72" s="28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SUM(OSRRefD22_14x_0)</f>
        <v>1842.65</v>
      </c>
      <c r="E72" s="1"/>
      <c r="F72" s="5">
        <f t="shared" si="58"/>
        <v>9.3524566408710472E-2</v>
      </c>
      <c r="G72" s="1"/>
      <c r="H72" s="1">
        <f>SUM(OSRRefH22_14x_0)</f>
        <v>693.41000000000008</v>
      </c>
      <c r="I72" s="1"/>
      <c r="J72" s="5">
        <f t="shared" si="59"/>
        <v>0.71125539793416837</v>
      </c>
      <c r="K72" s="1"/>
      <c r="L72" s="1">
        <f t="shared" si="60"/>
        <v>1149.24</v>
      </c>
      <c r="M72" s="1"/>
      <c r="N72" s="5">
        <f t="shared" si="61"/>
        <v>1.6573744249433955</v>
      </c>
      <c r="O72" s="14"/>
      <c r="P72" s="1">
        <f>SUM(OSRRefP22_14x_0)</f>
        <v>1842.65</v>
      </c>
      <c r="Q72" s="1"/>
      <c r="R72" s="5">
        <f t="shared" si="62"/>
        <v>9.3524566408710472E-2</v>
      </c>
      <c r="S72" s="1"/>
      <c r="T72" s="1">
        <f>SUM(OSRRefT22_14x_0)</f>
        <v>693.41000000000008</v>
      </c>
      <c r="U72" s="1"/>
      <c r="V72" s="5">
        <f t="shared" si="63"/>
        <v>0.71125539793416837</v>
      </c>
      <c r="W72" s="1"/>
      <c r="X72" s="1">
        <f t="shared" si="64"/>
        <v>1149.24</v>
      </c>
      <c r="Y72" s="1"/>
      <c r="Z72" s="5">
        <f t="shared" si="65"/>
        <v>1.6573744249433955</v>
      </c>
    </row>
    <row r="73" spans="1:26" s="24" customFormat="1" hidden="1" outlineLevel="2" x14ac:dyDescent="0.3">
      <c r="A73" s="27"/>
      <c r="B73" s="12" t="str">
        <f>CONCATENATE("          ", "6235", " - ", "COVID-19 EXPENSES")</f>
        <v xml:space="preserve">          6235 - COVID-19 EXPENSES</v>
      </c>
      <c r="C73" s="12"/>
      <c r="D73" s="8"/>
      <c r="E73" s="3"/>
      <c r="F73" s="7">
        <f t="shared" si="58"/>
        <v>0</v>
      </c>
      <c r="G73" s="3"/>
      <c r="H73" s="8">
        <v>743.09</v>
      </c>
      <c r="I73" s="3"/>
      <c r="J73" s="7">
        <f t="shared" si="59"/>
        <v>0.76221394795417019</v>
      </c>
      <c r="K73" s="3"/>
      <c r="L73" s="8">
        <f t="shared" si="60"/>
        <v>-743.09</v>
      </c>
      <c r="M73" s="3"/>
      <c r="N73" s="7">
        <f t="shared" si="61"/>
        <v>-1</v>
      </c>
      <c r="O73" s="12"/>
      <c r="P73" s="8"/>
      <c r="Q73" s="3"/>
      <c r="R73" s="7">
        <f t="shared" si="62"/>
        <v>0</v>
      </c>
      <c r="S73" s="3"/>
      <c r="T73" s="8">
        <v>743.09</v>
      </c>
      <c r="U73" s="3"/>
      <c r="V73" s="7">
        <f t="shared" si="63"/>
        <v>0.76221394795417019</v>
      </c>
      <c r="W73" s="3"/>
      <c r="X73" s="8">
        <f t="shared" si="64"/>
        <v>-743.09</v>
      </c>
      <c r="Y73" s="3"/>
      <c r="Z73" s="7">
        <f t="shared" si="65"/>
        <v>-1</v>
      </c>
    </row>
    <row r="74" spans="1:26" s="24" customFormat="1" hidden="1" outlineLevel="2" x14ac:dyDescent="0.3">
      <c r="A74" s="27"/>
      <c r="B74" s="12" t="str">
        <f>CONCATENATE("          ", "6237", " - ", "JANITORIAL SUPPLIES")</f>
        <v xml:space="preserve">          6237 - JANITORIAL SUPPLIES</v>
      </c>
      <c r="C74" s="12"/>
      <c r="D74" s="8">
        <v>1002.17</v>
      </c>
      <c r="E74" s="3"/>
      <c r="F74" s="7">
        <f t="shared" si="58"/>
        <v>5.0865609159535106E-2</v>
      </c>
      <c r="G74" s="3"/>
      <c r="H74" s="8"/>
      <c r="I74" s="3"/>
      <c r="J74" s="7">
        <f t="shared" si="59"/>
        <v>0</v>
      </c>
      <c r="K74" s="3"/>
      <c r="L74" s="8">
        <f t="shared" si="60"/>
        <v>1002.17</v>
      </c>
      <c r="M74" s="3"/>
      <c r="N74" s="7">
        <f t="shared" si="61"/>
        <v>0</v>
      </c>
      <c r="O74" s="12"/>
      <c r="P74" s="8">
        <v>1002.17</v>
      </c>
      <c r="Q74" s="3"/>
      <c r="R74" s="7">
        <f t="shared" si="62"/>
        <v>5.0865609159535106E-2</v>
      </c>
      <c r="S74" s="3"/>
      <c r="T74" s="8"/>
      <c r="U74" s="3"/>
      <c r="V74" s="7">
        <f t="shared" si="63"/>
        <v>0</v>
      </c>
      <c r="W74" s="3"/>
      <c r="X74" s="8">
        <f t="shared" si="64"/>
        <v>1002.17</v>
      </c>
      <c r="Y74" s="3"/>
      <c r="Z74" s="7">
        <f t="shared" si="65"/>
        <v>0</v>
      </c>
    </row>
    <row r="75" spans="1:26" s="24" customFormat="1" hidden="1" outlineLevel="2" x14ac:dyDescent="0.3">
      <c r="A75" s="27"/>
      <c r="B75" s="12" t="str">
        <f>CONCATENATE("          ", "6239", " - ", "KITCHEN SUPPLIES")</f>
        <v xml:space="preserve">          6239 - KITCHEN SUPPLIES</v>
      </c>
      <c r="C75" s="12"/>
      <c r="D75" s="8">
        <v>32.03</v>
      </c>
      <c r="E75" s="3"/>
      <c r="F75" s="7">
        <f t="shared" si="58"/>
        <v>1.6256976973766024E-3</v>
      </c>
      <c r="G75" s="3"/>
      <c r="H75" s="8"/>
      <c r="I75" s="3"/>
      <c r="J75" s="7">
        <f t="shared" si="59"/>
        <v>0</v>
      </c>
      <c r="K75" s="3"/>
      <c r="L75" s="8">
        <f t="shared" si="60"/>
        <v>32.03</v>
      </c>
      <c r="M75" s="3"/>
      <c r="N75" s="7">
        <f t="shared" si="61"/>
        <v>0</v>
      </c>
      <c r="O75" s="12"/>
      <c r="P75" s="8">
        <v>32.03</v>
      </c>
      <c r="Q75" s="3"/>
      <c r="R75" s="7">
        <f t="shared" si="62"/>
        <v>1.6256976973766024E-3</v>
      </c>
      <c r="S75" s="3"/>
      <c r="T75" s="8"/>
      <c r="U75" s="3"/>
      <c r="V75" s="7">
        <f t="shared" si="63"/>
        <v>0</v>
      </c>
      <c r="W75" s="3"/>
      <c r="X75" s="8">
        <f t="shared" si="64"/>
        <v>32.03</v>
      </c>
      <c r="Y75" s="3"/>
      <c r="Z75" s="7">
        <f t="shared" si="65"/>
        <v>0</v>
      </c>
    </row>
    <row r="76" spans="1:26" s="24" customFormat="1" hidden="1" outlineLevel="2" x14ac:dyDescent="0.3">
      <c r="A76" s="27"/>
      <c r="B76" s="12" t="str">
        <f>CONCATENATE("          ", "6241", " - ", "OFFICE EXPENSE")</f>
        <v xml:space="preserve">          6241 - OFFICE EXPENSE</v>
      </c>
      <c r="C76" s="12"/>
      <c r="D76" s="8">
        <v>643.07000000000005</v>
      </c>
      <c r="E76" s="3"/>
      <c r="F76" s="7">
        <f t="shared" si="58"/>
        <v>3.2639319957913568E-2</v>
      </c>
      <c r="G76" s="3"/>
      <c r="H76" s="8">
        <v>-49.68</v>
      </c>
      <c r="I76" s="3"/>
      <c r="J76" s="7">
        <f t="shared" si="59"/>
        <v>-5.0958550020001846E-2</v>
      </c>
      <c r="K76" s="3"/>
      <c r="L76" s="8">
        <f t="shared" si="60"/>
        <v>692.75</v>
      </c>
      <c r="M76" s="3"/>
      <c r="N76" s="7">
        <f t="shared" si="61"/>
        <v>-13.944243156199677</v>
      </c>
      <c r="O76" s="12"/>
      <c r="P76" s="8">
        <v>643.07000000000005</v>
      </c>
      <c r="Q76" s="3"/>
      <c r="R76" s="7">
        <f t="shared" si="62"/>
        <v>3.2639319957913568E-2</v>
      </c>
      <c r="S76" s="3"/>
      <c r="T76" s="8">
        <v>-49.68</v>
      </c>
      <c r="U76" s="3"/>
      <c r="V76" s="7">
        <f t="shared" si="63"/>
        <v>-5.0958550020001846E-2</v>
      </c>
      <c r="W76" s="3"/>
      <c r="X76" s="8">
        <f t="shared" si="64"/>
        <v>692.75</v>
      </c>
      <c r="Y76" s="3"/>
      <c r="Z76" s="7">
        <f t="shared" si="65"/>
        <v>-13.944243156199677</v>
      </c>
    </row>
    <row r="77" spans="1:26" s="24" customFormat="1" hidden="1" outlineLevel="2" x14ac:dyDescent="0.3">
      <c r="A77" s="27"/>
      <c r="B77" s="12" t="str">
        <f>CONCATENATE("          ", "6243", " - ", "PAPER SUPPLIES")</f>
        <v xml:space="preserve">          6243 - PAPER SUPPLIES</v>
      </c>
      <c r="C77" s="12"/>
      <c r="D77" s="8">
        <v>165.38</v>
      </c>
      <c r="E77" s="3"/>
      <c r="F77" s="7">
        <f t="shared" si="58"/>
        <v>8.3939395938851854E-3</v>
      </c>
      <c r="G77" s="3"/>
      <c r="H77" s="8"/>
      <c r="I77" s="3"/>
      <c r="J77" s="7">
        <f t="shared" si="59"/>
        <v>0</v>
      </c>
      <c r="K77" s="3"/>
      <c r="L77" s="8">
        <f t="shared" si="60"/>
        <v>165.38</v>
      </c>
      <c r="M77" s="3"/>
      <c r="N77" s="7">
        <f t="shared" si="61"/>
        <v>0</v>
      </c>
      <c r="O77" s="12"/>
      <c r="P77" s="8">
        <v>165.38</v>
      </c>
      <c r="Q77" s="3"/>
      <c r="R77" s="7">
        <f t="shared" si="62"/>
        <v>8.3939395938851854E-3</v>
      </c>
      <c r="S77" s="3"/>
      <c r="T77" s="8"/>
      <c r="U77" s="3"/>
      <c r="V77" s="7">
        <f t="shared" si="63"/>
        <v>0</v>
      </c>
      <c r="W77" s="3"/>
      <c r="X77" s="8">
        <f t="shared" si="64"/>
        <v>165.38</v>
      </c>
      <c r="Y77" s="3"/>
      <c r="Z77" s="7">
        <f t="shared" si="65"/>
        <v>0</v>
      </c>
    </row>
    <row r="78" spans="1:26" s="29" customFormat="1" outlineLevel="1" collapsed="1" x14ac:dyDescent="0.3">
      <c r="A78" s="28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642.35</v>
      </c>
      <c r="E78" s="1"/>
      <c r="F78" s="5">
        <f t="shared" ref="F78:F83" si="66">IF(D$12=0,0,D78/D$12)</f>
        <v>3.2602776019664707E-2</v>
      </c>
      <c r="G78" s="1"/>
      <c r="H78" s="1">
        <f>SUM(OSRRefH22_15x_0)</f>
        <v>1592.63</v>
      </c>
      <c r="I78" s="1"/>
      <c r="J78" s="5">
        <f t="shared" ref="J78:J83" si="67">IF(H$12=0,0,H78/H$12)</f>
        <v>1.633617462124709</v>
      </c>
      <c r="K78" s="1"/>
      <c r="L78" s="1">
        <f t="shared" ref="L78:L83" si="68">+D78-H78</f>
        <v>-950.28000000000009</v>
      </c>
      <c r="M78" s="1"/>
      <c r="N78" s="5">
        <f t="shared" ref="N78:N83" si="69">IF(H78=0,0,L78/H78)</f>
        <v>-0.59667342697299441</v>
      </c>
      <c r="O78" s="14"/>
      <c r="P78" s="1">
        <f>SUM(OSRRefP22_15x_0)</f>
        <v>642.35</v>
      </c>
      <c r="Q78" s="1"/>
      <c r="R78" s="5">
        <f t="shared" ref="R78:R83" si="70">IF(P$12=0,0,P78/P$12)</f>
        <v>3.2602776019664707E-2</v>
      </c>
      <c r="S78" s="1"/>
      <c r="T78" s="1">
        <f>SUM(OSRRefT22_15x_0)</f>
        <v>1592.63</v>
      </c>
      <c r="U78" s="1"/>
      <c r="V78" s="5">
        <f t="shared" ref="V78:V83" si="71">IF(T$12=0,0,T78/T$12)</f>
        <v>1.633617462124709</v>
      </c>
      <c r="W78" s="1"/>
      <c r="X78" s="1">
        <f t="shared" ref="X78:X83" si="72">+P78-T78</f>
        <v>-950.28000000000009</v>
      </c>
      <c r="Y78" s="1"/>
      <c r="Z78" s="5">
        <f t="shared" ref="Z78:Z83" si="73">IF(T78=0,0,X78/T78)</f>
        <v>-0.59667342697299441</v>
      </c>
    </row>
    <row r="79" spans="1:26" s="24" customFormat="1" hidden="1" outlineLevel="2" x14ac:dyDescent="0.3">
      <c r="A79" s="27"/>
      <c r="B79" s="12" t="str">
        <f>CONCATENATE("          ", "6309", " - ", "TELEPHONE")</f>
        <v xml:space="preserve">          6309 - TELEPHONE</v>
      </c>
      <c r="C79" s="12"/>
      <c r="D79" s="8">
        <v>642.35</v>
      </c>
      <c r="E79" s="3"/>
      <c r="F79" s="7">
        <f t="shared" si="66"/>
        <v>3.2602776019664707E-2</v>
      </c>
      <c r="G79" s="3"/>
      <c r="H79" s="8">
        <v>1592.63</v>
      </c>
      <c r="I79" s="3"/>
      <c r="J79" s="7">
        <f t="shared" si="67"/>
        <v>1.633617462124709</v>
      </c>
      <c r="K79" s="3"/>
      <c r="L79" s="8">
        <f t="shared" si="68"/>
        <v>-950.28000000000009</v>
      </c>
      <c r="M79" s="3"/>
      <c r="N79" s="7">
        <f t="shared" si="69"/>
        <v>-0.59667342697299441</v>
      </c>
      <c r="O79" s="12"/>
      <c r="P79" s="8">
        <v>642.35</v>
      </c>
      <c r="Q79" s="3"/>
      <c r="R79" s="7">
        <f t="shared" si="70"/>
        <v>3.2602776019664707E-2</v>
      </c>
      <c r="S79" s="3"/>
      <c r="T79" s="8">
        <v>1592.63</v>
      </c>
      <c r="U79" s="3"/>
      <c r="V79" s="7">
        <f t="shared" si="71"/>
        <v>1.633617462124709</v>
      </c>
      <c r="W79" s="3"/>
      <c r="X79" s="8">
        <f t="shared" si="72"/>
        <v>-950.28000000000009</v>
      </c>
      <c r="Y79" s="3"/>
      <c r="Z79" s="7">
        <f t="shared" si="73"/>
        <v>-0.59667342697299441</v>
      </c>
    </row>
    <row r="80" spans="1:26" s="29" customFormat="1" outlineLevel="1" collapsed="1" x14ac:dyDescent="0.3">
      <c r="A80" s="28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SUM(OSRRefD22_16x_0)</f>
        <v>0</v>
      </c>
      <c r="E80" s="1"/>
      <c r="F80" s="5">
        <f t="shared" si="66"/>
        <v>0</v>
      </c>
      <c r="G80" s="1"/>
      <c r="H80" s="1">
        <f>SUM(OSRRefH22_16x_0)</f>
        <v>179.69</v>
      </c>
      <c r="I80" s="1"/>
      <c r="J80" s="5">
        <f t="shared" si="67"/>
        <v>0.18431444953893181</v>
      </c>
      <c r="K80" s="1"/>
      <c r="L80" s="1">
        <f t="shared" si="68"/>
        <v>-179.69</v>
      </c>
      <c r="M80" s="1"/>
      <c r="N80" s="5">
        <f t="shared" si="69"/>
        <v>-1</v>
      </c>
      <c r="O80" s="14"/>
      <c r="P80" s="1">
        <f>SUM(OSRRefP22_16x_0)</f>
        <v>0</v>
      </c>
      <c r="Q80" s="1"/>
      <c r="R80" s="5">
        <f t="shared" si="70"/>
        <v>0</v>
      </c>
      <c r="S80" s="1"/>
      <c r="T80" s="1">
        <f>SUM(OSRRefT22_16x_0)</f>
        <v>179.69</v>
      </c>
      <c r="U80" s="1"/>
      <c r="V80" s="5">
        <f t="shared" si="71"/>
        <v>0.18431444953893181</v>
      </c>
      <c r="W80" s="1"/>
      <c r="X80" s="1">
        <f t="shared" si="72"/>
        <v>-179.69</v>
      </c>
      <c r="Y80" s="1"/>
      <c r="Z80" s="5">
        <f t="shared" si="73"/>
        <v>-1</v>
      </c>
    </row>
    <row r="81" spans="1:26" s="24" customFormat="1" hidden="1" outlineLevel="2" x14ac:dyDescent="0.3">
      <c r="A81" s="27"/>
      <c r="B81" s="12" t="str">
        <f>CONCATENATE("          ", "6298", " - ", "VEHICLE MILEAGE")</f>
        <v xml:space="preserve">          6298 - VEHICLE MILEAGE</v>
      </c>
      <c r="C81" s="12"/>
      <c r="D81" s="8"/>
      <c r="E81" s="3"/>
      <c r="F81" s="7">
        <f t="shared" si="66"/>
        <v>0</v>
      </c>
      <c r="G81" s="3"/>
      <c r="H81" s="8">
        <v>179.69</v>
      </c>
      <c r="I81" s="3"/>
      <c r="J81" s="7">
        <f t="shared" si="67"/>
        <v>0.18431444953893181</v>
      </c>
      <c r="K81" s="3"/>
      <c r="L81" s="8">
        <f t="shared" si="68"/>
        <v>-179.69</v>
      </c>
      <c r="M81" s="3"/>
      <c r="N81" s="7">
        <f t="shared" si="69"/>
        <v>-1</v>
      </c>
      <c r="O81" s="12"/>
      <c r="P81" s="8"/>
      <c r="Q81" s="3"/>
      <c r="R81" s="7">
        <f t="shared" si="70"/>
        <v>0</v>
      </c>
      <c r="S81" s="3"/>
      <c r="T81" s="8">
        <v>179.69</v>
      </c>
      <c r="U81" s="3"/>
      <c r="V81" s="7">
        <f t="shared" si="71"/>
        <v>0.18431444953893181</v>
      </c>
      <c r="W81" s="3"/>
      <c r="X81" s="8">
        <f t="shared" si="72"/>
        <v>-179.69</v>
      </c>
      <c r="Y81" s="3"/>
      <c r="Z81" s="7">
        <f t="shared" si="73"/>
        <v>-1</v>
      </c>
    </row>
    <row r="82" spans="1:26" s="29" customFormat="1" outlineLevel="1" collapsed="1" x14ac:dyDescent="0.3">
      <c r="A82" s="28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SUM(OSRRefD22_17x_0)</f>
        <v>8250</v>
      </c>
      <c r="E82" s="1"/>
      <c r="F82" s="5">
        <f t="shared" si="66"/>
        <v>0.41873262576824755</v>
      </c>
      <c r="G82" s="1"/>
      <c r="H82" s="1">
        <f>SUM(OSRRefH22_17x_0)</f>
        <v>2350</v>
      </c>
      <c r="I82" s="1"/>
      <c r="J82" s="5">
        <f t="shared" si="67"/>
        <v>2.4104789160025031</v>
      </c>
      <c r="K82" s="1"/>
      <c r="L82" s="1">
        <f t="shared" si="68"/>
        <v>5900</v>
      </c>
      <c r="M82" s="1"/>
      <c r="N82" s="5">
        <f t="shared" si="69"/>
        <v>2.5106382978723403</v>
      </c>
      <c r="O82" s="14"/>
      <c r="P82" s="1">
        <f>SUM(OSRRefP22_17x_0)</f>
        <v>8250</v>
      </c>
      <c r="Q82" s="1"/>
      <c r="R82" s="5">
        <f t="shared" si="70"/>
        <v>0.41873262576824755</v>
      </c>
      <c r="S82" s="1"/>
      <c r="T82" s="1">
        <f>SUM(OSRRefT22_17x_0)</f>
        <v>2350</v>
      </c>
      <c r="U82" s="1"/>
      <c r="V82" s="5">
        <f t="shared" si="71"/>
        <v>2.4104789160025031</v>
      </c>
      <c r="W82" s="1"/>
      <c r="X82" s="1">
        <f t="shared" si="72"/>
        <v>5900</v>
      </c>
      <c r="Y82" s="1"/>
      <c r="Z82" s="5">
        <f t="shared" si="73"/>
        <v>2.5106382978723403</v>
      </c>
    </row>
    <row r="83" spans="1:26" s="24" customFormat="1" hidden="1" outlineLevel="2" x14ac:dyDescent="0.3">
      <c r="A83" s="27"/>
      <c r="B83" s="12" t="str">
        <f>CONCATENATE("          ", "6274", " - ", "UTILITIES")</f>
        <v xml:space="preserve">          6274 - UTILITIES</v>
      </c>
      <c r="C83" s="12"/>
      <c r="D83" s="8">
        <v>8250</v>
      </c>
      <c r="E83" s="3"/>
      <c r="F83" s="7">
        <f t="shared" si="66"/>
        <v>0.41873262576824755</v>
      </c>
      <c r="G83" s="3"/>
      <c r="H83" s="8">
        <v>2350</v>
      </c>
      <c r="I83" s="3"/>
      <c r="J83" s="7">
        <f t="shared" si="67"/>
        <v>2.4104789160025031</v>
      </c>
      <c r="K83" s="3"/>
      <c r="L83" s="8">
        <f t="shared" si="68"/>
        <v>5900</v>
      </c>
      <c r="M83" s="3"/>
      <c r="N83" s="7">
        <f t="shared" si="69"/>
        <v>2.5106382978723403</v>
      </c>
      <c r="O83" s="12"/>
      <c r="P83" s="8">
        <v>8250</v>
      </c>
      <c r="Q83" s="3"/>
      <c r="R83" s="7">
        <f t="shared" si="70"/>
        <v>0.41873262576824755</v>
      </c>
      <c r="S83" s="3"/>
      <c r="T83" s="8">
        <v>2350</v>
      </c>
      <c r="U83" s="3"/>
      <c r="V83" s="7">
        <f t="shared" si="71"/>
        <v>2.4104789160025031</v>
      </c>
      <c r="W83" s="3"/>
      <c r="X83" s="8">
        <f t="shared" si="72"/>
        <v>5900</v>
      </c>
      <c r="Y83" s="3"/>
      <c r="Z83" s="7">
        <f t="shared" si="73"/>
        <v>2.5106382978723403</v>
      </c>
    </row>
    <row r="84" spans="1:26" s="53" customFormat="1" x14ac:dyDescent="0.3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3">
      <c r="A85" s="10"/>
      <c r="B85" s="25" t="s">
        <v>292</v>
      </c>
      <c r="C85" s="10"/>
      <c r="D85" s="4">
        <f>SUM(OSRRefD25x_0)</f>
        <v>2655.42</v>
      </c>
      <c r="E85" s="4"/>
      <c r="F85" s="11">
        <f t="shared" ref="F85:F88" si="74">IF(D$12=0,0,D85/D$12)</f>
        <v>0.1347770895900024</v>
      </c>
      <c r="G85" s="4"/>
      <c r="H85" s="4">
        <f>SUM(OSRRefH25x_0)</f>
        <v>2076.54</v>
      </c>
      <c r="I85" s="4"/>
      <c r="J85" s="11">
        <f t="shared" ref="J85:J88" si="75">IF(H$12=0,0,H85/H$12)</f>
        <v>2.1299812290365265</v>
      </c>
      <c r="K85" s="4"/>
      <c r="L85" s="4">
        <f t="shared" ref="L85:L88" si="76">+D85-H85</f>
        <v>578.88000000000011</v>
      </c>
      <c r="M85" s="4"/>
      <c r="N85" s="11">
        <f t="shared" ref="N85:N88" si="77">IF(H85=0,0,L85/H85)</f>
        <v>0.27877141783929044</v>
      </c>
      <c r="O85" s="10"/>
      <c r="P85" s="4">
        <f>SUM(OSRRefP25x_0)</f>
        <v>2655.42</v>
      </c>
      <c r="Q85" s="4"/>
      <c r="R85" s="11">
        <f t="shared" ref="R85:R88" si="78">IF(P$12=0,0,P85/P$12)</f>
        <v>0.1347770895900024</v>
      </c>
      <c r="S85" s="4"/>
      <c r="T85" s="4">
        <f>SUM(OSRRefT25x_0)</f>
        <v>2076.54</v>
      </c>
      <c r="U85" s="4"/>
      <c r="V85" s="11">
        <f t="shared" ref="V85:V88" si="79">IF(T$12=0,0,T85/T$12)</f>
        <v>2.1299812290365265</v>
      </c>
      <c r="W85" s="4"/>
      <c r="X85" s="4">
        <f t="shared" ref="X85:X88" si="80">+P85-T85</f>
        <v>578.88000000000011</v>
      </c>
      <c r="Y85" s="4"/>
      <c r="Z85" s="11">
        <f t="shared" ref="Z85:Z88" si="81">IF(T85=0,0,X85/T85)</f>
        <v>0.27877141783929044</v>
      </c>
    </row>
    <row r="86" spans="1:26" s="24" customFormat="1" hidden="1" outlineLevel="1" x14ac:dyDescent="0.3">
      <c r="A86" s="50"/>
      <c r="B86" s="12" t="str">
        <f>CONCATENATE("          ", "9150", " - ", "MISC. INCOME")</f>
        <v xml:space="preserve">          9150 - MISC. INCOME</v>
      </c>
      <c r="C86" s="12"/>
      <c r="D86" s="3">
        <f>--1417.3</f>
        <v>1417.3</v>
      </c>
      <c r="E86" s="3"/>
      <c r="F86" s="22">
        <f t="shared" si="74"/>
        <v>7.1935727333495417E-2</v>
      </c>
      <c r="G86" s="3"/>
      <c r="H86" s="3">
        <f>--512.41</f>
        <v>512.41</v>
      </c>
      <c r="I86" s="3"/>
      <c r="J86" s="22">
        <f t="shared" si="75"/>
        <v>0.52559723461652874</v>
      </c>
      <c r="K86" s="3"/>
      <c r="L86" s="3">
        <f t="shared" si="76"/>
        <v>904.89</v>
      </c>
      <c r="M86" s="3"/>
      <c r="N86" s="22">
        <f t="shared" si="77"/>
        <v>1.7659491422884019</v>
      </c>
      <c r="O86" s="12"/>
      <c r="P86" s="3">
        <f>--1417.3</f>
        <v>1417.3</v>
      </c>
      <c r="Q86" s="3"/>
      <c r="R86" s="22">
        <f t="shared" si="78"/>
        <v>7.1935727333495417E-2</v>
      </c>
      <c r="S86" s="3"/>
      <c r="T86" s="3">
        <f>--512.41</f>
        <v>512.41</v>
      </c>
      <c r="U86" s="3"/>
      <c r="V86" s="22">
        <f t="shared" si="79"/>
        <v>0.52559723461652874</v>
      </c>
      <c r="W86" s="3"/>
      <c r="X86" s="3">
        <f t="shared" si="80"/>
        <v>904.89</v>
      </c>
      <c r="Y86" s="3"/>
      <c r="Z86" s="22">
        <f t="shared" si="81"/>
        <v>1.7659491422884019</v>
      </c>
    </row>
    <row r="87" spans="1:26" s="24" customFormat="1" hidden="1" outlineLevel="1" x14ac:dyDescent="0.3">
      <c r="A87" s="50"/>
      <c r="B87" s="12" t="str">
        <f>CONCATENATE("          ", "9160", " - ", "MISC. INCOME")</f>
        <v xml:space="preserve">          9160 - MISC. INCOME</v>
      </c>
      <c r="C87" s="12"/>
      <c r="D87" s="3">
        <f>--1238.12</f>
        <v>1238.1199999999999</v>
      </c>
      <c r="E87" s="3"/>
      <c r="F87" s="22">
        <f t="shared" si="74"/>
        <v>6.284136225650698E-2</v>
      </c>
      <c r="G87" s="3"/>
      <c r="H87" s="3">
        <f>--1363.63</f>
        <v>1363.63</v>
      </c>
      <c r="I87" s="3"/>
      <c r="J87" s="22">
        <f t="shared" si="75"/>
        <v>1.3987239847780821</v>
      </c>
      <c r="K87" s="3"/>
      <c r="L87" s="3">
        <f t="shared" si="76"/>
        <v>-125.51000000000022</v>
      </c>
      <c r="M87" s="3"/>
      <c r="N87" s="22">
        <f t="shared" si="77"/>
        <v>-9.2041096191782384E-2</v>
      </c>
      <c r="O87" s="12"/>
      <c r="P87" s="3">
        <f>--1238.12</f>
        <v>1238.1199999999999</v>
      </c>
      <c r="Q87" s="3"/>
      <c r="R87" s="22">
        <f t="shared" si="78"/>
        <v>6.284136225650698E-2</v>
      </c>
      <c r="S87" s="3"/>
      <c r="T87" s="3">
        <f>--1363.63</f>
        <v>1363.63</v>
      </c>
      <c r="U87" s="3"/>
      <c r="V87" s="22">
        <f t="shared" si="79"/>
        <v>1.3987239847780821</v>
      </c>
      <c r="W87" s="3"/>
      <c r="X87" s="3">
        <f t="shared" si="80"/>
        <v>-125.51000000000022</v>
      </c>
      <c r="Y87" s="3"/>
      <c r="Z87" s="22">
        <f t="shared" si="81"/>
        <v>-9.2041096191782384E-2</v>
      </c>
    </row>
    <row r="88" spans="1:26" s="24" customFormat="1" hidden="1" outlineLevel="1" x14ac:dyDescent="0.3">
      <c r="A88" s="50"/>
      <c r="B88" s="12" t="str">
        <f>CONCATENATE("          ", "9165", " - ", "OTHER INCOME")</f>
        <v xml:space="preserve">          9165 - OTHER INCOME</v>
      </c>
      <c r="C88" s="12"/>
      <c r="D88" s="3">
        <f>0</f>
        <v>0</v>
      </c>
      <c r="E88" s="3"/>
      <c r="F88" s="22">
        <f t="shared" si="74"/>
        <v>0</v>
      </c>
      <c r="G88" s="3"/>
      <c r="H88" s="3">
        <f>--200.5</f>
        <v>200.5</v>
      </c>
      <c r="I88" s="3"/>
      <c r="J88" s="22">
        <f t="shared" si="75"/>
        <v>0.20566000964191566</v>
      </c>
      <c r="K88" s="3"/>
      <c r="L88" s="3">
        <f t="shared" si="76"/>
        <v>-200.5</v>
      </c>
      <c r="M88" s="3"/>
      <c r="N88" s="22">
        <f t="shared" si="77"/>
        <v>-1</v>
      </c>
      <c r="O88" s="12"/>
      <c r="P88" s="3">
        <f>0</f>
        <v>0</v>
      </c>
      <c r="Q88" s="3"/>
      <c r="R88" s="22">
        <f t="shared" si="78"/>
        <v>0</v>
      </c>
      <c r="S88" s="3"/>
      <c r="T88" s="3">
        <f>--200.5</f>
        <v>200.5</v>
      </c>
      <c r="U88" s="3"/>
      <c r="V88" s="22">
        <f t="shared" si="79"/>
        <v>0.20566000964191566</v>
      </c>
      <c r="W88" s="3"/>
      <c r="X88" s="3">
        <f t="shared" si="80"/>
        <v>-200.5</v>
      </c>
      <c r="Y88" s="3"/>
      <c r="Z88" s="22">
        <f t="shared" si="81"/>
        <v>-1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x14ac:dyDescent="0.3">
      <c r="A90" s="10"/>
      <c r="B90" s="26" t="s">
        <v>276</v>
      </c>
      <c r="C90" s="26"/>
      <c r="D90" s="20">
        <f>+D25-D27+D85</f>
        <v>-140482.68000000002</v>
      </c>
      <c r="E90" s="13"/>
      <c r="F90" s="21">
        <f>IF(D$12=0,0,D90/D$12)</f>
        <v>-7.1302644207709678</v>
      </c>
      <c r="G90" s="13"/>
      <c r="H90" s="20">
        <f>+H25-H27+H85</f>
        <v>-159121.91</v>
      </c>
      <c r="I90" s="13"/>
      <c r="J90" s="21">
        <f>IF(H$12=0,0,H90/H$12)</f>
        <v>-163.21702516129696</v>
      </c>
      <c r="K90" s="16"/>
      <c r="L90" s="20">
        <f>+D90-H90</f>
        <v>18639.229999999981</v>
      </c>
      <c r="M90" s="16"/>
      <c r="N90" s="21">
        <f>IF(H90=0,0,L90/H90)</f>
        <v>-0.11713804843091678</v>
      </c>
      <c r="O90" s="25"/>
      <c r="P90" s="20">
        <f>+P25-P27+P85</f>
        <v>-140482.68000000002</v>
      </c>
      <c r="Q90" s="13"/>
      <c r="R90" s="21">
        <f>IF(P$12=0,0,P90/P$12)</f>
        <v>-7.1302644207709678</v>
      </c>
      <c r="S90" s="13"/>
      <c r="T90" s="20">
        <f>+T25-T27+T85</f>
        <v>-159121.91</v>
      </c>
      <c r="U90" s="13"/>
      <c r="V90" s="21">
        <f>IF(T$12=0,0,T90/T$12)</f>
        <v>-163.21702516129696</v>
      </c>
      <c r="W90" s="16"/>
      <c r="X90" s="20">
        <f>+P90-T90</f>
        <v>18639.229999999981</v>
      </c>
      <c r="Y90" s="16"/>
      <c r="Z90" s="21">
        <f>IF(T90=0,0,X90/T90)</f>
        <v>-0.11713804843091678</v>
      </c>
    </row>
    <row r="91" spans="1:26" x14ac:dyDescent="0.3">
      <c r="A91" s="9"/>
      <c r="B91" s="10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23" customFormat="1" x14ac:dyDescent="0.3">
      <c r="A92" s="51"/>
      <c r="B92" s="10" t="s">
        <v>127</v>
      </c>
      <c r="C92" s="10"/>
      <c r="D92" s="4">
        <v>9102.39</v>
      </c>
      <c r="E92" s="4"/>
      <c r="F92" s="11">
        <f>IF(D$12=0,0,D92/D$12)</f>
        <v>0.46199608066262282</v>
      </c>
      <c r="G92" s="4"/>
      <c r="H92" s="4">
        <v>468.88</v>
      </c>
      <c r="I92" s="4"/>
      <c r="J92" s="11">
        <f>IF(H$12=0,0,H92/H$12)</f>
        <v>0.48094695920649089</v>
      </c>
      <c r="K92" s="4"/>
      <c r="L92" s="4">
        <f>+D92-H92</f>
        <v>8633.51</v>
      </c>
      <c r="M92" s="4"/>
      <c r="N92" s="11">
        <f>IF(H92=0,0,L92/H92)</f>
        <v>18.413048114656203</v>
      </c>
      <c r="O92" s="10"/>
      <c r="P92" s="4">
        <v>9102.39</v>
      </c>
      <c r="Q92" s="4"/>
      <c r="R92" s="11">
        <f>IF(P$12=0,0,P92/P$12)</f>
        <v>0.46199608066262282</v>
      </c>
      <c r="S92" s="4"/>
      <c r="T92" s="4">
        <v>468.88</v>
      </c>
      <c r="U92" s="4"/>
      <c r="V92" s="11">
        <f>IF(T$12=0,0,T92/T$12)</f>
        <v>0.48094695920649089</v>
      </c>
      <c r="W92" s="4"/>
      <c r="X92" s="4">
        <f>+P92-T92</f>
        <v>8633.51</v>
      </c>
      <c r="Y92" s="4"/>
      <c r="Z92" s="11">
        <f>IF(T92=0,0,X92/T92)</f>
        <v>18.413048114656203</v>
      </c>
    </row>
    <row r="93" spans="1:26" x14ac:dyDescent="0.3">
      <c r="A93" s="9"/>
      <c r="B93" s="10"/>
      <c r="C93" s="10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10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23" customFormat="1" ht="15" thickBot="1" x14ac:dyDescent="0.35">
      <c r="A94" s="10"/>
      <c r="B94" s="26" t="s">
        <v>125</v>
      </c>
      <c r="C94" s="26"/>
      <c r="D94" s="36">
        <f>+D90-D92</f>
        <v>-149585.07</v>
      </c>
      <c r="E94" s="13"/>
      <c r="F94" s="34">
        <f>IF(D$12=0,0,D94/D$12)</f>
        <v>-7.5922605014335893</v>
      </c>
      <c r="G94" s="13"/>
      <c r="H94" s="36">
        <f>+H90-H92</f>
        <v>-159590.79</v>
      </c>
      <c r="I94" s="13"/>
      <c r="J94" s="34">
        <f>IF(H$12=0,0,H94/H$12)</f>
        <v>-163.69797212050344</v>
      </c>
      <c r="K94" s="16"/>
      <c r="L94" s="36">
        <f>D94-H94</f>
        <v>10005.720000000001</v>
      </c>
      <c r="M94" s="16"/>
      <c r="N94" s="34">
        <f>IF(H94=0,0,L94/H94)</f>
        <v>-6.2696099192190227E-2</v>
      </c>
      <c r="O94" s="25"/>
      <c r="P94" s="36">
        <f>+P90-P92</f>
        <v>-149585.07</v>
      </c>
      <c r="Q94" s="13"/>
      <c r="R94" s="34">
        <f>IF(P$12=0,0,P94/P$12)</f>
        <v>-7.5922605014335893</v>
      </c>
      <c r="S94" s="13"/>
      <c r="T94" s="36">
        <f>+T90-T92</f>
        <v>-159590.79</v>
      </c>
      <c r="U94" s="13"/>
      <c r="V94" s="34">
        <f>IF(T$12=0,0,T94/T$12)</f>
        <v>-163.69797212050344</v>
      </c>
      <c r="W94" s="16"/>
      <c r="X94" s="36">
        <f>P94-T94</f>
        <v>10005.720000000001</v>
      </c>
      <c r="Y94" s="16"/>
      <c r="Z94" s="34">
        <f>IF(T94=0,0,X94/T94)</f>
        <v>-6.2696099192190227E-2</v>
      </c>
    </row>
    <row r="95" spans="1:26" ht="15" thickTop="1" x14ac:dyDescent="0.3">
      <c r="A95" s="9"/>
      <c r="B95" s="9"/>
      <c r="C95" s="9"/>
      <c r="D95" s="2"/>
      <c r="E95" s="2"/>
      <c r="F95" s="6"/>
      <c r="G95" s="2"/>
      <c r="H95" s="2"/>
      <c r="I95" s="2"/>
      <c r="J95" s="6"/>
      <c r="K95" s="2"/>
      <c r="L95" s="2"/>
      <c r="M95" s="2"/>
      <c r="N95" s="6"/>
      <c r="P95" s="2"/>
      <c r="Q95" s="2"/>
      <c r="R95" s="6"/>
      <c r="S95" s="2"/>
      <c r="T95" s="2"/>
      <c r="U95" s="2"/>
      <c r="V95" s="6"/>
      <c r="W95" s="2"/>
      <c r="X95" s="2"/>
      <c r="Y95" s="2"/>
      <c r="Z95" s="6"/>
    </row>
    <row r="96" spans="1:26" x14ac:dyDescent="0.3">
      <c r="A96" s="9"/>
      <c r="B96" s="9"/>
      <c r="C96" s="9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23" customFormat="1" ht="15" thickBot="1" x14ac:dyDescent="0.35">
      <c r="A97" s="10"/>
      <c r="B97" s="26" t="s">
        <v>293</v>
      </c>
      <c r="C97" s="26"/>
      <c r="D97" s="31">
        <f>SUM(D94:D96)</f>
        <v>-149585.07</v>
      </c>
      <c r="E97" s="13"/>
      <c r="F97" s="33">
        <f>IF(D$12=0,0,D97/D$12)</f>
        <v>-7.5922605014335893</v>
      </c>
      <c r="G97" s="13"/>
      <c r="H97" s="31">
        <f>SUM(H94:H96)</f>
        <v>-159590.79</v>
      </c>
      <c r="I97" s="13"/>
      <c r="J97" s="33">
        <f>IF(H$12=0,0,H97/H$12)</f>
        <v>-163.69797212050344</v>
      </c>
      <c r="K97" s="16"/>
      <c r="L97" s="31">
        <f>+D97-H97</f>
        <v>10005.720000000001</v>
      </c>
      <c r="M97" s="16"/>
      <c r="N97" s="33">
        <f>IF(H97=0,0,L97/H97)</f>
        <v>-6.2696099192190227E-2</v>
      </c>
      <c r="O97" s="25"/>
      <c r="P97" s="31">
        <f>SUM(P94:P96)</f>
        <v>-149585.07</v>
      </c>
      <c r="Q97" s="13"/>
      <c r="R97" s="33">
        <f>IF(P$12=0,0,P97/P$12)</f>
        <v>-7.5922605014335893</v>
      </c>
      <c r="S97" s="13"/>
      <c r="T97" s="31">
        <f>SUM(T94:T96)</f>
        <v>-159590.79</v>
      </c>
      <c r="U97" s="13"/>
      <c r="V97" s="33">
        <f>IF(T$12=0,0,T97/T$12)</f>
        <v>-163.69797212050344</v>
      </c>
      <c r="W97" s="16"/>
      <c r="X97" s="31">
        <f>+P97-T97</f>
        <v>10005.720000000001</v>
      </c>
      <c r="Y97" s="16"/>
      <c r="Z97" s="33">
        <f>IF(T97=0,0,X97/T97)</f>
        <v>-6.2696099192190227E-2</v>
      </c>
    </row>
    <row r="98" spans="1:26" ht="15" thickTop="1" x14ac:dyDescent="0.3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3">
      <c r="A99" s="9"/>
      <c r="B99" s="59">
        <v>44462.666880868055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3">
      <c r="A100" s="9"/>
      <c r="B100" s="57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3">
      <c r="A101" s="9"/>
      <c r="B101" s="61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3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19702.309999999998</v>
      </c>
      <c r="E12" s="4"/>
      <c r="F12" s="11"/>
      <c r="G12" s="4"/>
      <c r="H12" s="4">
        <f>SUM(OSRRefH13x_0)</f>
        <v>974.91</v>
      </c>
      <c r="I12" s="4"/>
      <c r="J12" s="11"/>
      <c r="K12" s="4"/>
      <c r="L12" s="4">
        <f t="shared" ref="L12:L15" si="0">+D12-H12</f>
        <v>18727.399999999998</v>
      </c>
      <c r="M12" s="4"/>
      <c r="N12" s="11">
        <f t="shared" ref="N12:N15" si="1">IF(H12=0,0,L12/H12)</f>
        <v>19.209362915551178</v>
      </c>
      <c r="O12" s="10"/>
      <c r="P12" s="4">
        <f>SUM(OSRRefP13x_0)</f>
        <v>19702.309999999998</v>
      </c>
      <c r="Q12" s="4"/>
      <c r="R12" s="11"/>
      <c r="S12" s="4"/>
      <c r="T12" s="4">
        <f>SUM(OSRRefT13x_0)</f>
        <v>974.91</v>
      </c>
      <c r="U12" s="4"/>
      <c r="V12" s="11"/>
      <c r="W12" s="4"/>
      <c r="X12" s="4">
        <f t="shared" ref="X12:X15" si="2">+P12-T12</f>
        <v>18727.399999999998</v>
      </c>
      <c r="Y12" s="4"/>
      <c r="Z12" s="11">
        <f t="shared" ref="Z12:Z15" si="3">IF(T12=0,0,X12/T12)</f>
        <v>19.209362915551178</v>
      </c>
    </row>
    <row r="13" spans="1:26" s="24" customFormat="1" hidden="1" outlineLevel="1" x14ac:dyDescent="0.3">
      <c r="A13" s="50"/>
      <c r="B13" s="12" t="str">
        <f>CONCATENATE("          ", "4051", " - ", "TAXABLE SALES-FOOD")</f>
        <v xml:space="preserve">          4051 - TAXABLE SALES-FOOD</v>
      </c>
      <c r="C13" s="12"/>
      <c r="D13" s="3">
        <f>--10630.93</f>
        <v>10630.93</v>
      </c>
      <c r="E13" s="3"/>
      <c r="F13" s="22"/>
      <c r="G13" s="3"/>
      <c r="H13" s="3">
        <f>0</f>
        <v>0</v>
      </c>
      <c r="I13" s="3"/>
      <c r="J13" s="22"/>
      <c r="K13" s="3"/>
      <c r="L13" s="3">
        <f t="shared" si="0"/>
        <v>10630.93</v>
      </c>
      <c r="M13" s="3"/>
      <c r="N13" s="22">
        <f t="shared" si="1"/>
        <v>0</v>
      </c>
      <c r="O13" s="12"/>
      <c r="P13" s="3">
        <f>--10630.93</f>
        <v>10630.93</v>
      </c>
      <c r="Q13" s="3"/>
      <c r="R13" s="22"/>
      <c r="S13" s="3"/>
      <c r="T13" s="3">
        <f>0</f>
        <v>0</v>
      </c>
      <c r="U13" s="3"/>
      <c r="V13" s="22"/>
      <c r="W13" s="3"/>
      <c r="X13" s="3">
        <f t="shared" si="2"/>
        <v>10630.93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"4058", " - ", "TAXABLE SALES-FOOD")</f>
        <v xml:space="preserve">          4058 - TAXABLE SALES-FOOD</v>
      </c>
      <c r="C14" s="12"/>
      <c r="D14" s="3">
        <f>0</f>
        <v>0</v>
      </c>
      <c r="E14" s="3"/>
      <c r="F14" s="22"/>
      <c r="G14" s="3"/>
      <c r="H14" s="3">
        <f>--974.91</f>
        <v>974.91</v>
      </c>
      <c r="I14" s="3"/>
      <c r="J14" s="22"/>
      <c r="K14" s="3"/>
      <c r="L14" s="3">
        <f t="shared" si="0"/>
        <v>-974.91</v>
      </c>
      <c r="M14" s="3"/>
      <c r="N14" s="22">
        <f t="shared" si="1"/>
        <v>-1</v>
      </c>
      <c r="O14" s="12"/>
      <c r="P14" s="3">
        <f>0</f>
        <v>0</v>
      </c>
      <c r="Q14" s="3"/>
      <c r="R14" s="22"/>
      <c r="S14" s="3"/>
      <c r="T14" s="3">
        <f>--974.91</f>
        <v>974.91</v>
      </c>
      <c r="U14" s="3"/>
      <c r="V14" s="22"/>
      <c r="W14" s="3"/>
      <c r="X14" s="3">
        <f t="shared" si="2"/>
        <v>-974.91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"4151", " - ", "NON-TAXABLE SALES-FOOD")</f>
        <v xml:space="preserve">          4151 - NON-TAXABLE SALES-FOOD</v>
      </c>
      <c r="C15" s="12"/>
      <c r="D15" s="3">
        <f>--9071.38</f>
        <v>9071.3799999999992</v>
      </c>
      <c r="E15" s="3"/>
      <c r="F15" s="22"/>
      <c r="G15" s="3"/>
      <c r="H15" s="3">
        <f>0</f>
        <v>0</v>
      </c>
      <c r="I15" s="3"/>
      <c r="J15" s="22"/>
      <c r="K15" s="3"/>
      <c r="L15" s="3">
        <f t="shared" si="0"/>
        <v>9071.3799999999992</v>
      </c>
      <c r="M15" s="3"/>
      <c r="N15" s="22">
        <f t="shared" si="1"/>
        <v>0</v>
      </c>
      <c r="O15" s="12"/>
      <c r="P15" s="3">
        <f>--9071.38</f>
        <v>9071.3799999999992</v>
      </c>
      <c r="Q15" s="3"/>
      <c r="R15" s="22"/>
      <c r="S15" s="3"/>
      <c r="T15" s="3">
        <f>0</f>
        <v>0</v>
      </c>
      <c r="U15" s="3"/>
      <c r="V15" s="22"/>
      <c r="W15" s="3"/>
      <c r="X15" s="3">
        <f t="shared" si="2"/>
        <v>9071.3799999999992</v>
      </c>
      <c r="Y15" s="3"/>
      <c r="Z15" s="22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5059.3799999999992</v>
      </c>
      <c r="E17" s="4"/>
      <c r="F17" s="11">
        <f t="shared" ref="F17:F19" si="4">IF(D$12=0,0,D17/D$12)</f>
        <v>0.25679120874658856</v>
      </c>
      <c r="G17" s="4"/>
      <c r="H17" s="4">
        <f>SUM(OSRRefH16x_0)</f>
        <v>0</v>
      </c>
      <c r="I17" s="4"/>
      <c r="J17" s="11">
        <f t="shared" ref="J17:J19" si="5">IF(H$12=0,0,H17/H$12)</f>
        <v>0</v>
      </c>
      <c r="K17" s="4"/>
      <c r="L17" s="4">
        <f t="shared" ref="L17:L19" si="6">+D17-H17</f>
        <v>5059.3799999999992</v>
      </c>
      <c r="M17" s="4"/>
      <c r="N17" s="11">
        <f t="shared" ref="N17:N19" si="7">IF(H17=0,0,L17/H17)</f>
        <v>0</v>
      </c>
      <c r="O17" s="10"/>
      <c r="P17" s="4">
        <f>SUM(OSRRefP16x_0)</f>
        <v>5059.3799999999992</v>
      </c>
      <c r="Q17" s="4"/>
      <c r="R17" s="11">
        <f t="shared" ref="R17:R19" si="8">IF(P$12=0,0,P17/P$12)</f>
        <v>0.25679120874658856</v>
      </c>
      <c r="S17" s="4"/>
      <c r="T17" s="4">
        <f>SUM(OSRRefT16x_0)</f>
        <v>0</v>
      </c>
      <c r="U17" s="4"/>
      <c r="V17" s="11">
        <f t="shared" ref="V17:V19" si="9">IF(T$12=0,0,T17/T$12)</f>
        <v>0</v>
      </c>
      <c r="W17" s="4"/>
      <c r="X17" s="4">
        <f t="shared" ref="X17:X19" si="10">+P17-T17</f>
        <v>5059.3799999999992</v>
      </c>
      <c r="Y17" s="4"/>
      <c r="Z17" s="11">
        <f t="shared" ref="Z17:Z19" si="11">IF(T17=0,0,X17/T17)</f>
        <v>0</v>
      </c>
    </row>
    <row r="18" spans="1:26" s="24" customFormat="1" hidden="1" outlineLevel="1" x14ac:dyDescent="0.3">
      <c r="A18" s="50"/>
      <c r="B18" s="12" t="str">
        <f>CONCATENATE("          ", "5053", " - ", "PURCHASES @ COST-FOOD")</f>
        <v xml:space="preserve">          5053 - PURCHASES @ COST-FOOD</v>
      </c>
      <c r="C18" s="12"/>
      <c r="D18" s="3">
        <v>8224.3799999999992</v>
      </c>
      <c r="E18" s="3"/>
      <c r="F18" s="22">
        <f t="shared" si="4"/>
        <v>0.41743227063222538</v>
      </c>
      <c r="G18" s="3"/>
      <c r="H18" s="3"/>
      <c r="I18" s="3"/>
      <c r="J18" s="22">
        <f t="shared" si="5"/>
        <v>0</v>
      </c>
      <c r="K18" s="3"/>
      <c r="L18" s="3">
        <f t="shared" si="6"/>
        <v>8224.3799999999992</v>
      </c>
      <c r="M18" s="3"/>
      <c r="N18" s="22">
        <f t="shared" si="7"/>
        <v>0</v>
      </c>
      <c r="O18" s="12"/>
      <c r="P18" s="3">
        <v>8224.3799999999992</v>
      </c>
      <c r="Q18" s="3"/>
      <c r="R18" s="22">
        <f t="shared" si="8"/>
        <v>0.41743227063222538</v>
      </c>
      <c r="S18" s="3"/>
      <c r="T18" s="3"/>
      <c r="U18" s="3"/>
      <c r="V18" s="22">
        <f t="shared" si="9"/>
        <v>0</v>
      </c>
      <c r="W18" s="3"/>
      <c r="X18" s="3">
        <f t="shared" si="10"/>
        <v>8224.3799999999992</v>
      </c>
      <c r="Y18" s="3"/>
      <c r="Z18" s="22">
        <f t="shared" si="11"/>
        <v>0</v>
      </c>
    </row>
    <row r="19" spans="1:26" s="24" customFormat="1" hidden="1" outlineLevel="1" x14ac:dyDescent="0.3">
      <c r="A19" s="50"/>
      <c r="B19" s="12" t="str">
        <f>CONCATENATE("          ", "5059", " - ", "PURCHASES @ COST-FOOD")</f>
        <v xml:space="preserve">          5059 - PURCHASES @ COST-FOOD</v>
      </c>
      <c r="C19" s="12"/>
      <c r="D19" s="3">
        <v>-3165</v>
      </c>
      <c r="E19" s="3"/>
      <c r="F19" s="22">
        <f t="shared" si="4"/>
        <v>-0.16064106188563679</v>
      </c>
      <c r="G19" s="3"/>
      <c r="H19" s="3"/>
      <c r="I19" s="3"/>
      <c r="J19" s="22">
        <f t="shared" si="5"/>
        <v>0</v>
      </c>
      <c r="K19" s="3"/>
      <c r="L19" s="3">
        <f t="shared" si="6"/>
        <v>-3165</v>
      </c>
      <c r="M19" s="3"/>
      <c r="N19" s="22">
        <f t="shared" si="7"/>
        <v>0</v>
      </c>
      <c r="O19" s="12"/>
      <c r="P19" s="3">
        <v>-3165</v>
      </c>
      <c r="Q19" s="3"/>
      <c r="R19" s="22">
        <f t="shared" si="8"/>
        <v>-0.16064106188563679</v>
      </c>
      <c r="S19" s="3"/>
      <c r="T19" s="3"/>
      <c r="U19" s="3"/>
      <c r="V19" s="22">
        <f t="shared" si="9"/>
        <v>0</v>
      </c>
      <c r="W19" s="3"/>
      <c r="X19" s="3">
        <f t="shared" si="10"/>
        <v>-3165</v>
      </c>
      <c r="Y19" s="3"/>
      <c r="Z19" s="22">
        <f t="shared" si="11"/>
        <v>0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107</v>
      </c>
      <c r="C21" s="26"/>
      <c r="D21" s="20">
        <f>D12-D17</f>
        <v>14642.929999999998</v>
      </c>
      <c r="E21" s="13"/>
      <c r="F21" s="21">
        <f>IF(D$12=0,0,D21/D$12)</f>
        <v>0.74320879125341144</v>
      </c>
      <c r="G21" s="13"/>
      <c r="H21" s="20">
        <f>H12-H17</f>
        <v>974.91</v>
      </c>
      <c r="I21" s="13"/>
      <c r="J21" s="21">
        <f>IF(H$12=0,0,H21/H$12)</f>
        <v>1</v>
      </c>
      <c r="K21" s="16"/>
      <c r="L21" s="20">
        <f>+D21-H21</f>
        <v>13668.019999999999</v>
      </c>
      <c r="M21" s="16"/>
      <c r="N21" s="21">
        <f>IF(H21=0,0,L21/H21)</f>
        <v>14.019776184468309</v>
      </c>
      <c r="O21" s="25"/>
      <c r="P21" s="20">
        <f>P12-P17</f>
        <v>14642.929999999998</v>
      </c>
      <c r="Q21" s="13"/>
      <c r="R21" s="21">
        <f>IF(P$12=0,0,P21/P$12)</f>
        <v>0.74320879125341144</v>
      </c>
      <c r="S21" s="13"/>
      <c r="T21" s="20">
        <f>T12-T17</f>
        <v>974.91</v>
      </c>
      <c r="U21" s="13"/>
      <c r="V21" s="21">
        <f>IF(T$12=0,0,T21/T$12)</f>
        <v>1</v>
      </c>
      <c r="W21" s="16"/>
      <c r="X21" s="20">
        <f>+P21-T21</f>
        <v>13668.019999999999</v>
      </c>
      <c r="Y21" s="16"/>
      <c r="Z21" s="21">
        <f>IF(T21=0,0,X21/T21)</f>
        <v>14.019776184468309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19">
        <f>SUM(OSRRefD22x_0)</f>
        <v>145851.12999999998</v>
      </c>
      <c r="E23" s="19"/>
      <c r="F23" s="35">
        <f t="shared" ref="F23:F32" si="12">IF(D$12=0,0,D23/D$12)</f>
        <v>7.4027426225655768</v>
      </c>
      <c r="G23" s="19"/>
      <c r="H23" s="19">
        <f>SUM(OSRRefH22x_0)</f>
        <v>127125.15000000004</v>
      </c>
      <c r="I23" s="19"/>
      <c r="J23" s="35">
        <f t="shared" ref="J23:J32" si="13">IF(H$12=0,0,H23/H$12)</f>
        <v>130.3968058590024</v>
      </c>
      <c r="K23" s="4"/>
      <c r="L23" s="19">
        <f t="shared" ref="L23:L32" si="14">+D23-H23</f>
        <v>18725.979999999938</v>
      </c>
      <c r="M23" s="4"/>
      <c r="N23" s="35">
        <f t="shared" ref="N23:N32" si="15">IF(H23=0,0,L23/H23)</f>
        <v>0.14730350367334813</v>
      </c>
      <c r="O23" s="10"/>
      <c r="P23" s="19">
        <f>SUM(OSRRefP22x_0)</f>
        <v>145851.12999999998</v>
      </c>
      <c r="Q23" s="19"/>
      <c r="R23" s="35">
        <f t="shared" ref="R23:R32" si="16">IF(P$12=0,0,P23/P$12)</f>
        <v>7.4027426225655768</v>
      </c>
      <c r="S23" s="19"/>
      <c r="T23" s="19">
        <f>SUM(OSRRefT22x_0)</f>
        <v>127125.15000000004</v>
      </c>
      <c r="U23" s="19"/>
      <c r="V23" s="35">
        <f t="shared" ref="V23:V32" si="17">IF(T$12=0,0,T23/T$12)</f>
        <v>130.3968058590024</v>
      </c>
      <c r="W23" s="4"/>
      <c r="X23" s="19">
        <f t="shared" ref="X23:X32" si="18">+P23-T23</f>
        <v>18725.979999999938</v>
      </c>
      <c r="Y23" s="4"/>
      <c r="Z23" s="35">
        <f t="shared" ref="Z23:Z32" si="19">IF(T23=0,0,X23/T23)</f>
        <v>0.14730350367334813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25335.059999999998</v>
      </c>
      <c r="E24" s="1"/>
      <c r="F24" s="5">
        <f t="shared" si="12"/>
        <v>1.2858928724601328</v>
      </c>
      <c r="G24" s="1"/>
      <c r="H24" s="1">
        <f>SUM(OSRRefH22_0x_0)</f>
        <v>25973.47</v>
      </c>
      <c r="I24" s="1"/>
      <c r="J24" s="5">
        <f t="shared" si="13"/>
        <v>26.641915664010014</v>
      </c>
      <c r="K24" s="1"/>
      <c r="L24" s="1">
        <f t="shared" si="14"/>
        <v>-638.41000000000349</v>
      </c>
      <c r="M24" s="1"/>
      <c r="N24" s="5">
        <f t="shared" si="15"/>
        <v>-2.457931112015466E-2</v>
      </c>
      <c r="O24" s="14"/>
      <c r="P24" s="1">
        <f>SUM(OSRRefP22_0x_0)</f>
        <v>25335.059999999998</v>
      </c>
      <c r="Q24" s="1"/>
      <c r="R24" s="5">
        <f t="shared" si="16"/>
        <v>1.2858928724601328</v>
      </c>
      <c r="S24" s="1"/>
      <c r="T24" s="1">
        <f>SUM(OSRRefT22_0x_0)</f>
        <v>25973.47</v>
      </c>
      <c r="U24" s="1"/>
      <c r="V24" s="5">
        <f t="shared" si="17"/>
        <v>26.641915664010014</v>
      </c>
      <c r="W24" s="1"/>
      <c r="X24" s="1">
        <f t="shared" si="18"/>
        <v>-638.41000000000349</v>
      </c>
      <c r="Y24" s="1"/>
      <c r="Z24" s="5">
        <f t="shared" si="19"/>
        <v>-2.457931112015466E-2</v>
      </c>
    </row>
    <row r="25" spans="1:26" s="24" customFormat="1" hidden="1" outlineLevel="2" x14ac:dyDescent="0.3">
      <c r="A25" s="27"/>
      <c r="B25" s="12" t="str">
        <f>CONCATENATE("          ", "6111", " - ", "F.I.C.A.")</f>
        <v xml:space="preserve">          6111 - F.I.C.A.</v>
      </c>
      <c r="C25" s="12"/>
      <c r="D25" s="8">
        <v>3198.56</v>
      </c>
      <c r="E25" s="3"/>
      <c r="F25" s="7">
        <f t="shared" si="12"/>
        <v>0.16234441545179221</v>
      </c>
      <c r="G25" s="3"/>
      <c r="H25" s="8">
        <v>2614.65</v>
      </c>
      <c r="I25" s="3"/>
      <c r="J25" s="7">
        <f t="shared" si="13"/>
        <v>2.6819398713727423</v>
      </c>
      <c r="K25" s="3"/>
      <c r="L25" s="8">
        <f t="shared" si="14"/>
        <v>583.90999999999985</v>
      </c>
      <c r="M25" s="3"/>
      <c r="N25" s="7">
        <f t="shared" si="15"/>
        <v>0.22332243321285825</v>
      </c>
      <c r="O25" s="12"/>
      <c r="P25" s="8">
        <v>3198.56</v>
      </c>
      <c r="Q25" s="3"/>
      <c r="R25" s="7">
        <f t="shared" si="16"/>
        <v>0.16234441545179221</v>
      </c>
      <c r="S25" s="3"/>
      <c r="T25" s="8">
        <v>2614.65</v>
      </c>
      <c r="U25" s="3"/>
      <c r="V25" s="7">
        <f t="shared" si="17"/>
        <v>2.6819398713727423</v>
      </c>
      <c r="W25" s="3"/>
      <c r="X25" s="8">
        <f t="shared" si="18"/>
        <v>583.90999999999985</v>
      </c>
      <c r="Y25" s="3"/>
      <c r="Z25" s="7">
        <f t="shared" si="19"/>
        <v>0.22332243321285825</v>
      </c>
    </row>
    <row r="26" spans="1:26" s="24" customFormat="1" hidden="1" outlineLevel="2" x14ac:dyDescent="0.3">
      <c r="A26" s="27"/>
      <c r="B26" s="12" t="str">
        <f>CONCATENATE("          ", "6112", " - ", "COMPENSATION INSURANCE")</f>
        <v xml:space="preserve">          6112 - COMPENSATION INSURANCE</v>
      </c>
      <c r="C26" s="12"/>
      <c r="D26" s="8">
        <v>1106.6199999999999</v>
      </c>
      <c r="E26" s="3"/>
      <c r="F26" s="7">
        <f t="shared" si="12"/>
        <v>5.6167017979110063E-2</v>
      </c>
      <c r="G26" s="3"/>
      <c r="H26" s="8">
        <v>568.9</v>
      </c>
      <c r="I26" s="3"/>
      <c r="J26" s="7">
        <f t="shared" si="13"/>
        <v>0.58354104481439317</v>
      </c>
      <c r="K26" s="3"/>
      <c r="L26" s="8">
        <f t="shared" si="14"/>
        <v>537.71999999999991</v>
      </c>
      <c r="M26" s="3"/>
      <c r="N26" s="7">
        <f t="shared" si="15"/>
        <v>0.94519247670943918</v>
      </c>
      <c r="O26" s="12"/>
      <c r="P26" s="8">
        <v>1106.6199999999999</v>
      </c>
      <c r="Q26" s="3"/>
      <c r="R26" s="7">
        <f t="shared" si="16"/>
        <v>5.6167017979110063E-2</v>
      </c>
      <c r="S26" s="3"/>
      <c r="T26" s="8">
        <v>568.9</v>
      </c>
      <c r="U26" s="3"/>
      <c r="V26" s="7">
        <f t="shared" si="17"/>
        <v>0.58354104481439317</v>
      </c>
      <c r="W26" s="3"/>
      <c r="X26" s="8">
        <f t="shared" si="18"/>
        <v>537.71999999999991</v>
      </c>
      <c r="Y26" s="3"/>
      <c r="Z26" s="7">
        <f t="shared" si="19"/>
        <v>0.94519247670943918</v>
      </c>
    </row>
    <row r="27" spans="1:26" s="24" customFormat="1" hidden="1" outlineLevel="2" x14ac:dyDescent="0.3">
      <c r="A27" s="27"/>
      <c r="B27" s="12" t="str">
        <f>CONCATENATE("          ", "6113", " - ", "GROUP INSURANCE")</f>
        <v xml:space="preserve">          6113 - GROUP INSURANCE</v>
      </c>
      <c r="C27" s="12"/>
      <c r="D27" s="8">
        <v>11932.59</v>
      </c>
      <c r="E27" s="3"/>
      <c r="F27" s="7">
        <f t="shared" si="12"/>
        <v>0.60564421126253731</v>
      </c>
      <c r="G27" s="3"/>
      <c r="H27" s="8">
        <v>13618.52</v>
      </c>
      <c r="I27" s="3"/>
      <c r="J27" s="7">
        <f t="shared" si="13"/>
        <v>13.969002266875918</v>
      </c>
      <c r="K27" s="3"/>
      <c r="L27" s="8">
        <f t="shared" si="14"/>
        <v>-1685.9300000000003</v>
      </c>
      <c r="M27" s="3"/>
      <c r="N27" s="7">
        <f t="shared" si="15"/>
        <v>-0.12379685898320818</v>
      </c>
      <c r="O27" s="12"/>
      <c r="P27" s="8">
        <v>11932.59</v>
      </c>
      <c r="Q27" s="3"/>
      <c r="R27" s="7">
        <f t="shared" si="16"/>
        <v>0.60564421126253731</v>
      </c>
      <c r="S27" s="3"/>
      <c r="T27" s="8">
        <v>13618.52</v>
      </c>
      <c r="U27" s="3"/>
      <c r="V27" s="7">
        <f t="shared" si="17"/>
        <v>13.969002266875918</v>
      </c>
      <c r="W27" s="3"/>
      <c r="X27" s="8">
        <f t="shared" si="18"/>
        <v>-1685.9300000000003</v>
      </c>
      <c r="Y27" s="3"/>
      <c r="Z27" s="7">
        <f t="shared" si="19"/>
        <v>-0.12379685898320818</v>
      </c>
    </row>
    <row r="28" spans="1:26" s="24" customFormat="1" hidden="1" outlineLevel="2" x14ac:dyDescent="0.3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8">
        <v>108.7</v>
      </c>
      <c r="E28" s="3"/>
      <c r="F28" s="7">
        <f t="shared" si="12"/>
        <v>5.5171195661828498E-3</v>
      </c>
      <c r="G28" s="3"/>
      <c r="H28" s="8">
        <v>81.95</v>
      </c>
      <c r="I28" s="3"/>
      <c r="J28" s="7">
        <f t="shared" si="13"/>
        <v>8.4059041347406438E-2</v>
      </c>
      <c r="K28" s="3"/>
      <c r="L28" s="8">
        <f t="shared" si="14"/>
        <v>26.75</v>
      </c>
      <c r="M28" s="3"/>
      <c r="N28" s="7">
        <f t="shared" si="15"/>
        <v>0.32641854789505798</v>
      </c>
      <c r="O28" s="12"/>
      <c r="P28" s="8">
        <v>108.7</v>
      </c>
      <c r="Q28" s="3"/>
      <c r="R28" s="7">
        <f t="shared" si="16"/>
        <v>5.5171195661828498E-3</v>
      </c>
      <c r="S28" s="3"/>
      <c r="T28" s="8">
        <v>81.95</v>
      </c>
      <c r="U28" s="3"/>
      <c r="V28" s="7">
        <f t="shared" si="17"/>
        <v>8.4059041347406438E-2</v>
      </c>
      <c r="W28" s="3"/>
      <c r="X28" s="8">
        <f t="shared" si="18"/>
        <v>26.75</v>
      </c>
      <c r="Y28" s="3"/>
      <c r="Z28" s="7">
        <f t="shared" si="19"/>
        <v>0.32641854789505798</v>
      </c>
    </row>
    <row r="29" spans="1:26" s="24" customFormat="1" hidden="1" outlineLevel="2" x14ac:dyDescent="0.3">
      <c r="A29" s="27"/>
      <c r="B29" s="12" t="str">
        <f>CONCATENATE("          ", "6115", " - ", "P.E.R.S.")</f>
        <v xml:space="preserve">          6115 - P.E.R.S.</v>
      </c>
      <c r="C29" s="12"/>
      <c r="D29" s="8">
        <v>2989.03</v>
      </c>
      <c r="E29" s="3"/>
      <c r="F29" s="7">
        <f t="shared" si="12"/>
        <v>0.15170962186667455</v>
      </c>
      <c r="G29" s="3"/>
      <c r="H29" s="8">
        <v>4648.8</v>
      </c>
      <c r="I29" s="3"/>
      <c r="J29" s="7">
        <f t="shared" si="13"/>
        <v>4.7684401637074192</v>
      </c>
      <c r="K29" s="3"/>
      <c r="L29" s="8">
        <f t="shared" si="14"/>
        <v>-1659.77</v>
      </c>
      <c r="M29" s="3"/>
      <c r="N29" s="7">
        <f t="shared" si="15"/>
        <v>-0.35703192221648594</v>
      </c>
      <c r="O29" s="12"/>
      <c r="P29" s="8">
        <v>2989.03</v>
      </c>
      <c r="Q29" s="3"/>
      <c r="R29" s="7">
        <f t="shared" si="16"/>
        <v>0.15170962186667455</v>
      </c>
      <c r="S29" s="3"/>
      <c r="T29" s="8">
        <v>4648.8</v>
      </c>
      <c r="U29" s="3"/>
      <c r="V29" s="7">
        <f t="shared" si="17"/>
        <v>4.7684401637074192</v>
      </c>
      <c r="W29" s="3"/>
      <c r="X29" s="8">
        <f t="shared" si="18"/>
        <v>-1659.77</v>
      </c>
      <c r="Y29" s="3"/>
      <c r="Z29" s="7">
        <f t="shared" si="19"/>
        <v>-0.35703192221648594</v>
      </c>
    </row>
    <row r="30" spans="1:26" s="24" customFormat="1" hidden="1" outlineLevel="2" x14ac:dyDescent="0.3">
      <c r="A30" s="27"/>
      <c r="B30" s="12" t="str">
        <f>CONCATENATE("          ", "6118", " - ", "VACATION")</f>
        <v xml:space="preserve">          6118 - VACATION</v>
      </c>
      <c r="C30" s="12"/>
      <c r="D30" s="8">
        <v>2954.94</v>
      </c>
      <c r="E30" s="3"/>
      <c r="F30" s="7">
        <f t="shared" si="12"/>
        <v>0.14997936790153035</v>
      </c>
      <c r="G30" s="3"/>
      <c r="H30" s="8">
        <v>2560.33</v>
      </c>
      <c r="I30" s="3"/>
      <c r="J30" s="7">
        <f t="shared" si="13"/>
        <v>2.6262219076632713</v>
      </c>
      <c r="K30" s="3"/>
      <c r="L30" s="8">
        <f t="shared" si="14"/>
        <v>394.61000000000013</v>
      </c>
      <c r="M30" s="3"/>
      <c r="N30" s="7">
        <f t="shared" si="15"/>
        <v>0.15412466361758059</v>
      </c>
      <c r="O30" s="12"/>
      <c r="P30" s="8">
        <v>2954.94</v>
      </c>
      <c r="Q30" s="3"/>
      <c r="R30" s="7">
        <f t="shared" si="16"/>
        <v>0.14997936790153035</v>
      </c>
      <c r="S30" s="3"/>
      <c r="T30" s="8">
        <v>2560.33</v>
      </c>
      <c r="U30" s="3"/>
      <c r="V30" s="7">
        <f t="shared" si="17"/>
        <v>2.6262219076632713</v>
      </c>
      <c r="W30" s="3"/>
      <c r="X30" s="8">
        <f t="shared" si="18"/>
        <v>394.61000000000013</v>
      </c>
      <c r="Y30" s="3"/>
      <c r="Z30" s="7">
        <f t="shared" si="19"/>
        <v>0.15412466361758059</v>
      </c>
    </row>
    <row r="31" spans="1:26" s="24" customFormat="1" hidden="1" outlineLevel="2" x14ac:dyDescent="0.3">
      <c r="A31" s="27"/>
      <c r="B31" s="12" t="str">
        <f>CONCATENATE("          ", "6119", " - ", "SICK LEAVE")</f>
        <v xml:space="preserve">          6119 - SICK LEAVE</v>
      </c>
      <c r="C31" s="12"/>
      <c r="D31" s="8">
        <v>1898.78</v>
      </c>
      <c r="E31" s="3"/>
      <c r="F31" s="7">
        <f t="shared" si="12"/>
        <v>9.637347092802824E-2</v>
      </c>
      <c r="G31" s="3"/>
      <c r="H31" s="8">
        <v>1576.57</v>
      </c>
      <c r="I31" s="3"/>
      <c r="J31" s="7">
        <f t="shared" si="13"/>
        <v>1.6171441466391769</v>
      </c>
      <c r="K31" s="3"/>
      <c r="L31" s="8">
        <f t="shared" si="14"/>
        <v>322.21000000000004</v>
      </c>
      <c r="M31" s="3"/>
      <c r="N31" s="7">
        <f t="shared" si="15"/>
        <v>0.20437405253176202</v>
      </c>
      <c r="O31" s="12"/>
      <c r="P31" s="8">
        <v>1898.78</v>
      </c>
      <c r="Q31" s="3"/>
      <c r="R31" s="7">
        <f t="shared" si="16"/>
        <v>9.637347092802824E-2</v>
      </c>
      <c r="S31" s="3"/>
      <c r="T31" s="8">
        <v>1576.57</v>
      </c>
      <c r="U31" s="3"/>
      <c r="V31" s="7">
        <f t="shared" si="17"/>
        <v>1.6171441466391769</v>
      </c>
      <c r="W31" s="3"/>
      <c r="X31" s="8">
        <f t="shared" si="18"/>
        <v>322.21000000000004</v>
      </c>
      <c r="Y31" s="3"/>
      <c r="Z31" s="7">
        <f t="shared" si="19"/>
        <v>0.20437405253176202</v>
      </c>
    </row>
    <row r="32" spans="1:26" s="24" customFormat="1" hidden="1" outlineLevel="2" x14ac:dyDescent="0.3">
      <c r="A32" s="27"/>
      <c r="B32" s="12" t="str">
        <f>CONCATENATE("          ", "6156", " - ", "EMPLOYEE MEALS")</f>
        <v xml:space="preserve">          6156 - EMPLOYEE MEALS</v>
      </c>
      <c r="C32" s="12"/>
      <c r="D32" s="8">
        <v>1145.8399999999999</v>
      </c>
      <c r="E32" s="3"/>
      <c r="F32" s="7">
        <f t="shared" si="12"/>
        <v>5.8157647504277418E-2</v>
      </c>
      <c r="G32" s="3"/>
      <c r="H32" s="8">
        <v>303.75</v>
      </c>
      <c r="I32" s="3"/>
      <c r="J32" s="7">
        <f t="shared" si="13"/>
        <v>0.31156722158968519</v>
      </c>
      <c r="K32" s="3"/>
      <c r="L32" s="8">
        <f t="shared" si="14"/>
        <v>842.08999999999992</v>
      </c>
      <c r="M32" s="3"/>
      <c r="N32" s="7">
        <f t="shared" si="15"/>
        <v>2.7723127572016457</v>
      </c>
      <c r="O32" s="12"/>
      <c r="P32" s="8">
        <v>1145.8399999999999</v>
      </c>
      <c r="Q32" s="3"/>
      <c r="R32" s="7">
        <f t="shared" si="16"/>
        <v>5.8157647504277418E-2</v>
      </c>
      <c r="S32" s="3"/>
      <c r="T32" s="8">
        <v>303.75</v>
      </c>
      <c r="U32" s="3"/>
      <c r="V32" s="7">
        <f t="shared" si="17"/>
        <v>0.31156722158968519</v>
      </c>
      <c r="W32" s="3"/>
      <c r="X32" s="8">
        <f t="shared" si="18"/>
        <v>842.08999999999992</v>
      </c>
      <c r="Y32" s="3"/>
      <c r="Z32" s="7">
        <f t="shared" si="19"/>
        <v>2.7723127572016457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52602.950000000004</v>
      </c>
      <c r="E33" s="1"/>
      <c r="F33" s="5">
        <f t="shared" ref="F33:F38" si="20">IF(D$12=0,0,D33/D$12)</f>
        <v>2.669887439594647</v>
      </c>
      <c r="G33" s="1"/>
      <c r="H33" s="1">
        <f>SUM(OSRRefH22_1x_0)</f>
        <v>36428.020000000004</v>
      </c>
      <c r="I33" s="1"/>
      <c r="J33" s="5">
        <f t="shared" ref="J33:J38" si="21">IF(H$12=0,0,H33/H$12)</f>
        <v>37.365520919879792</v>
      </c>
      <c r="K33" s="1"/>
      <c r="L33" s="1">
        <f t="shared" ref="L33:L38" si="22">+D33-H33</f>
        <v>16174.93</v>
      </c>
      <c r="M33" s="1"/>
      <c r="N33" s="5">
        <f t="shared" ref="N33:N38" si="23">IF(H33=0,0,L33/H33)</f>
        <v>0.44402440758515005</v>
      </c>
      <c r="O33" s="14"/>
      <c r="P33" s="1">
        <f>SUM(OSRRefP22_1x_0)</f>
        <v>52602.950000000004</v>
      </c>
      <c r="Q33" s="1"/>
      <c r="R33" s="5">
        <f t="shared" ref="R33:R38" si="24">IF(P$12=0,0,P33/P$12)</f>
        <v>2.669887439594647</v>
      </c>
      <c r="S33" s="1"/>
      <c r="T33" s="1">
        <f>SUM(OSRRefT22_1x_0)</f>
        <v>36428.020000000004</v>
      </c>
      <c r="U33" s="1"/>
      <c r="V33" s="5">
        <f t="shared" ref="V33:V38" si="25">IF(T$12=0,0,T33/T$12)</f>
        <v>37.365520919879792</v>
      </c>
      <c r="W33" s="1"/>
      <c r="X33" s="1">
        <f t="shared" ref="X33:X38" si="26">+P33-T33</f>
        <v>16174.93</v>
      </c>
      <c r="Y33" s="1"/>
      <c r="Z33" s="5">
        <f t="shared" ref="Z33:Z38" si="27">IF(T33=0,0,X33/T33)</f>
        <v>0.44402440758515005</v>
      </c>
    </row>
    <row r="34" spans="1:26" s="24" customFormat="1" hidden="1" outlineLevel="2" x14ac:dyDescent="0.3">
      <c r="A34" s="27"/>
      <c r="B34" s="12" t="str">
        <f>CONCATENATE("          ", "6001", " - ", "ADMINISTRATIVE SALARIES")</f>
        <v xml:space="preserve">          6001 - ADMINISTRATIVE SALARIES</v>
      </c>
      <c r="C34" s="12"/>
      <c r="D34" s="8">
        <v>13836.28</v>
      </c>
      <c r="E34" s="3"/>
      <c r="F34" s="7">
        <f t="shared" si="20"/>
        <v>0.70226689154723498</v>
      </c>
      <c r="G34" s="3"/>
      <c r="H34" s="8">
        <v>11207.33</v>
      </c>
      <c r="I34" s="3"/>
      <c r="J34" s="7">
        <f t="shared" si="21"/>
        <v>11.495758582843544</v>
      </c>
      <c r="K34" s="3"/>
      <c r="L34" s="8">
        <f t="shared" si="22"/>
        <v>2628.9500000000007</v>
      </c>
      <c r="M34" s="3"/>
      <c r="N34" s="7">
        <f t="shared" si="23"/>
        <v>0.23457415816255975</v>
      </c>
      <c r="O34" s="12"/>
      <c r="P34" s="8">
        <v>13836.28</v>
      </c>
      <c r="Q34" s="3"/>
      <c r="R34" s="7">
        <f t="shared" si="24"/>
        <v>0.70226689154723498</v>
      </c>
      <c r="S34" s="3"/>
      <c r="T34" s="8">
        <v>11207.33</v>
      </c>
      <c r="U34" s="3"/>
      <c r="V34" s="7">
        <f t="shared" si="25"/>
        <v>11.495758582843544</v>
      </c>
      <c r="W34" s="3"/>
      <c r="X34" s="8">
        <f t="shared" si="26"/>
        <v>2628.9500000000007</v>
      </c>
      <c r="Y34" s="3"/>
      <c r="Z34" s="7">
        <f t="shared" si="27"/>
        <v>0.23457415816255975</v>
      </c>
    </row>
    <row r="35" spans="1:26" s="24" customFormat="1" hidden="1" outlineLevel="2" x14ac:dyDescent="0.3">
      <c r="A35" s="27"/>
      <c r="B35" s="12" t="str">
        <f>CONCATENATE("          ", "6002", " - ", "STAFF SALARIES")</f>
        <v xml:space="preserve">          6002 - STAFF SALARIES</v>
      </c>
      <c r="C35" s="12"/>
      <c r="D35" s="8">
        <v>23724.02</v>
      </c>
      <c r="E35" s="3"/>
      <c r="F35" s="7">
        <f t="shared" si="20"/>
        <v>1.2041237804095055</v>
      </c>
      <c r="G35" s="3"/>
      <c r="H35" s="8">
        <v>21098.959999999999</v>
      </c>
      <c r="I35" s="3"/>
      <c r="J35" s="7">
        <f t="shared" si="21"/>
        <v>21.64195669343837</v>
      </c>
      <c r="K35" s="3"/>
      <c r="L35" s="8">
        <f t="shared" si="22"/>
        <v>2625.0600000000013</v>
      </c>
      <c r="M35" s="3"/>
      <c r="N35" s="7">
        <f t="shared" si="23"/>
        <v>0.12441655892043975</v>
      </c>
      <c r="O35" s="12"/>
      <c r="P35" s="8">
        <v>23724.02</v>
      </c>
      <c r="Q35" s="3"/>
      <c r="R35" s="7">
        <f t="shared" si="24"/>
        <v>1.2041237804095055</v>
      </c>
      <c r="S35" s="3"/>
      <c r="T35" s="8">
        <v>21098.959999999999</v>
      </c>
      <c r="U35" s="3"/>
      <c r="V35" s="7">
        <f t="shared" si="25"/>
        <v>21.64195669343837</v>
      </c>
      <c r="W35" s="3"/>
      <c r="X35" s="8">
        <f t="shared" si="26"/>
        <v>2625.0600000000013</v>
      </c>
      <c r="Y35" s="3"/>
      <c r="Z35" s="7">
        <f t="shared" si="27"/>
        <v>0.12441655892043975</v>
      </c>
    </row>
    <row r="36" spans="1:26" s="24" customFormat="1" hidden="1" outlineLevel="2" x14ac:dyDescent="0.3">
      <c r="A36" s="27"/>
      <c r="B36" s="12" t="str">
        <f>CONCATENATE("          ", "6004", " - ", "STAFF HOURLY")</f>
        <v xml:space="preserve">          6004 - STAFF HOURLY</v>
      </c>
      <c r="C36" s="12"/>
      <c r="D36" s="8">
        <v>7726.26</v>
      </c>
      <c r="E36" s="3"/>
      <c r="F36" s="7">
        <f t="shared" si="20"/>
        <v>0.39214995602038549</v>
      </c>
      <c r="G36" s="3"/>
      <c r="H36" s="8">
        <v>2771.73</v>
      </c>
      <c r="I36" s="3"/>
      <c r="J36" s="7">
        <f t="shared" si="21"/>
        <v>2.8430624365326032</v>
      </c>
      <c r="K36" s="3"/>
      <c r="L36" s="8">
        <f t="shared" si="22"/>
        <v>4954.5300000000007</v>
      </c>
      <c r="M36" s="3"/>
      <c r="N36" s="7">
        <f t="shared" si="23"/>
        <v>1.7875225941920752</v>
      </c>
      <c r="O36" s="12"/>
      <c r="P36" s="8">
        <v>7726.26</v>
      </c>
      <c r="Q36" s="3"/>
      <c r="R36" s="7">
        <f t="shared" si="24"/>
        <v>0.39214995602038549</v>
      </c>
      <c r="S36" s="3"/>
      <c r="T36" s="8">
        <v>2771.73</v>
      </c>
      <c r="U36" s="3"/>
      <c r="V36" s="7">
        <f t="shared" si="25"/>
        <v>2.8430624365326032</v>
      </c>
      <c r="W36" s="3"/>
      <c r="X36" s="8">
        <f t="shared" si="26"/>
        <v>4954.5300000000007</v>
      </c>
      <c r="Y36" s="3"/>
      <c r="Z36" s="7">
        <f t="shared" si="27"/>
        <v>1.7875225941920752</v>
      </c>
    </row>
    <row r="37" spans="1:26" s="24" customFormat="1" hidden="1" outlineLevel="2" x14ac:dyDescent="0.3">
      <c r="A37" s="27"/>
      <c r="B37" s="12" t="str">
        <f>CONCATENATE("          ", "6005", " - ", "TEMPORARY WAGES-HOURLY")</f>
        <v xml:space="preserve">          6005 - TEMPORARY WAGES-HOURLY</v>
      </c>
      <c r="C37" s="12"/>
      <c r="D37" s="8">
        <v>3353.39</v>
      </c>
      <c r="E37" s="3"/>
      <c r="F37" s="7">
        <f t="shared" si="20"/>
        <v>0.17020288483939194</v>
      </c>
      <c r="G37" s="3"/>
      <c r="H37" s="8"/>
      <c r="I37" s="3"/>
      <c r="J37" s="7">
        <f t="shared" si="21"/>
        <v>0</v>
      </c>
      <c r="K37" s="3"/>
      <c r="L37" s="8">
        <f t="shared" si="22"/>
        <v>3353.39</v>
      </c>
      <c r="M37" s="3"/>
      <c r="N37" s="7">
        <f t="shared" si="23"/>
        <v>0</v>
      </c>
      <c r="O37" s="12"/>
      <c r="P37" s="8">
        <v>3353.39</v>
      </c>
      <c r="Q37" s="3"/>
      <c r="R37" s="7">
        <f t="shared" si="24"/>
        <v>0.17020288483939194</v>
      </c>
      <c r="S37" s="3"/>
      <c r="T37" s="8"/>
      <c r="U37" s="3"/>
      <c r="V37" s="7">
        <f t="shared" si="25"/>
        <v>0</v>
      </c>
      <c r="W37" s="3"/>
      <c r="X37" s="8">
        <f t="shared" si="26"/>
        <v>3353.39</v>
      </c>
      <c r="Y37" s="3"/>
      <c r="Z37" s="7">
        <f t="shared" si="27"/>
        <v>0</v>
      </c>
    </row>
    <row r="38" spans="1:26" s="24" customFormat="1" hidden="1" outlineLevel="2" x14ac:dyDescent="0.3">
      <c r="A38" s="27"/>
      <c r="B38" s="12" t="str">
        <f>CONCATENATE("          ", "6007", " - ", "STUDENT HOURLY")</f>
        <v xml:space="preserve">          6007 - STUDENT HOURLY</v>
      </c>
      <c r="C38" s="12"/>
      <c r="D38" s="8">
        <v>3963</v>
      </c>
      <c r="E38" s="3"/>
      <c r="F38" s="7">
        <f t="shared" si="20"/>
        <v>0.20114392677812909</v>
      </c>
      <c r="G38" s="3"/>
      <c r="H38" s="8">
        <v>1350</v>
      </c>
      <c r="I38" s="3"/>
      <c r="J38" s="7">
        <f t="shared" si="21"/>
        <v>1.3847432070652677</v>
      </c>
      <c r="K38" s="3"/>
      <c r="L38" s="8">
        <f t="shared" si="22"/>
        <v>2613</v>
      </c>
      <c r="M38" s="3"/>
      <c r="N38" s="7">
        <f t="shared" si="23"/>
        <v>1.9355555555555555</v>
      </c>
      <c r="O38" s="12"/>
      <c r="P38" s="8">
        <v>3963</v>
      </c>
      <c r="Q38" s="3"/>
      <c r="R38" s="7">
        <f t="shared" si="24"/>
        <v>0.20114392677812909</v>
      </c>
      <c r="S38" s="3"/>
      <c r="T38" s="8">
        <v>1350</v>
      </c>
      <c r="U38" s="3"/>
      <c r="V38" s="7">
        <f t="shared" si="25"/>
        <v>1.3847432070652677</v>
      </c>
      <c r="W38" s="3"/>
      <c r="X38" s="8">
        <f t="shared" si="26"/>
        <v>2613</v>
      </c>
      <c r="Y38" s="3"/>
      <c r="Z38" s="7">
        <f t="shared" si="27"/>
        <v>1.9355555555555555</v>
      </c>
    </row>
    <row r="39" spans="1:26" s="29" customFormat="1" outlineLevel="1" collapsed="1" x14ac:dyDescent="0.3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424.79</v>
      </c>
      <c r="E39" s="1"/>
      <c r="F39" s="5">
        <f t="shared" ref="F39:F47" si="28">IF(D$12=0,0,D39/D$12)</f>
        <v>2.1560416012132592E-2</v>
      </c>
      <c r="G39" s="1"/>
      <c r="H39" s="1">
        <f>SUM(OSRRefH22_2x_0)</f>
        <v>45.97</v>
      </c>
      <c r="I39" s="1"/>
      <c r="J39" s="5">
        <f t="shared" ref="J39:J47" si="29">IF(H$12=0,0,H39/H$12)</f>
        <v>4.7153070539844702E-2</v>
      </c>
      <c r="K39" s="1"/>
      <c r="L39" s="1">
        <f t="shared" ref="L39:L47" si="30">+D39-H39</f>
        <v>378.82000000000005</v>
      </c>
      <c r="M39" s="1"/>
      <c r="N39" s="5">
        <f t="shared" ref="N39:N47" si="31">IF(H39=0,0,L39/H39)</f>
        <v>8.2405916902327618</v>
      </c>
      <c r="O39" s="14"/>
      <c r="P39" s="1">
        <f>SUM(OSRRefP22_2x_0)</f>
        <v>424.79</v>
      </c>
      <c r="Q39" s="1"/>
      <c r="R39" s="5">
        <f t="shared" ref="R39:R47" si="32">IF(P$12=0,0,P39/P$12)</f>
        <v>2.1560416012132592E-2</v>
      </c>
      <c r="S39" s="1"/>
      <c r="T39" s="1">
        <f>SUM(OSRRefT22_2x_0)</f>
        <v>45.97</v>
      </c>
      <c r="U39" s="1"/>
      <c r="V39" s="5">
        <f t="shared" ref="V39:V47" si="33">IF(T$12=0,0,T39/T$12)</f>
        <v>4.7153070539844702E-2</v>
      </c>
      <c r="W39" s="1"/>
      <c r="X39" s="1">
        <f t="shared" ref="X39:X47" si="34">+P39-T39</f>
        <v>378.82000000000005</v>
      </c>
      <c r="Y39" s="1"/>
      <c r="Z39" s="5">
        <f t="shared" ref="Z39:Z47" si="35">IF(T39=0,0,X39/T39)</f>
        <v>8.2405916902327618</v>
      </c>
    </row>
    <row r="40" spans="1:26" s="24" customFormat="1" hidden="1" outlineLevel="2" x14ac:dyDescent="0.3">
      <c r="A40" s="27"/>
      <c r="B40" s="12" t="str">
        <f>CONCATENATE("          ", "6362", " - ", "ADVERTISING EXPENSE")</f>
        <v xml:space="preserve">          6362 - ADVERTISING EXPENSE</v>
      </c>
      <c r="C40" s="12"/>
      <c r="D40" s="8">
        <v>424.79</v>
      </c>
      <c r="E40" s="3"/>
      <c r="F40" s="7">
        <f t="shared" si="28"/>
        <v>2.1560416012132592E-2</v>
      </c>
      <c r="G40" s="3"/>
      <c r="H40" s="8">
        <v>45.97</v>
      </c>
      <c r="I40" s="3"/>
      <c r="J40" s="7">
        <f t="shared" si="29"/>
        <v>4.7153070539844702E-2</v>
      </c>
      <c r="K40" s="3"/>
      <c r="L40" s="8">
        <f t="shared" si="30"/>
        <v>378.82000000000005</v>
      </c>
      <c r="M40" s="3"/>
      <c r="N40" s="7">
        <f t="shared" si="31"/>
        <v>8.2405916902327618</v>
      </c>
      <c r="O40" s="12"/>
      <c r="P40" s="8">
        <v>424.79</v>
      </c>
      <c r="Q40" s="3"/>
      <c r="R40" s="7">
        <f t="shared" si="32"/>
        <v>2.1560416012132592E-2</v>
      </c>
      <c r="S40" s="3"/>
      <c r="T40" s="8">
        <v>45.97</v>
      </c>
      <c r="U40" s="3"/>
      <c r="V40" s="7">
        <f t="shared" si="33"/>
        <v>4.7153070539844702E-2</v>
      </c>
      <c r="W40" s="3"/>
      <c r="X40" s="8">
        <f t="shared" si="34"/>
        <v>378.82000000000005</v>
      </c>
      <c r="Y40" s="3"/>
      <c r="Z40" s="7">
        <f t="shared" si="35"/>
        <v>8.2405916902327618</v>
      </c>
    </row>
    <row r="41" spans="1:26" s="29" customFormat="1" outlineLevel="1" collapsed="1" x14ac:dyDescent="0.3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-19.02</v>
      </c>
      <c r="E41" s="1"/>
      <c r="F41" s="5">
        <f t="shared" si="28"/>
        <v>-9.6536903540752337E-4</v>
      </c>
      <c r="G41" s="1"/>
      <c r="H41" s="1">
        <f>SUM(OSRRefH22_3x_0)</f>
        <v>0</v>
      </c>
      <c r="I41" s="1"/>
      <c r="J41" s="5">
        <f t="shared" si="29"/>
        <v>0</v>
      </c>
      <c r="K41" s="1"/>
      <c r="L41" s="1">
        <f t="shared" si="30"/>
        <v>-19.02</v>
      </c>
      <c r="M41" s="1"/>
      <c r="N41" s="5">
        <f t="shared" si="31"/>
        <v>0</v>
      </c>
      <c r="O41" s="14"/>
      <c r="P41" s="1">
        <f>SUM(OSRRefP22_3x_0)</f>
        <v>-19.02</v>
      </c>
      <c r="Q41" s="1"/>
      <c r="R41" s="5">
        <f t="shared" si="32"/>
        <v>-9.6536903540752337E-4</v>
      </c>
      <c r="S41" s="1"/>
      <c r="T41" s="1">
        <f>SUM(OSRRefT22_3x_0)</f>
        <v>0</v>
      </c>
      <c r="U41" s="1"/>
      <c r="V41" s="5">
        <f t="shared" si="33"/>
        <v>0</v>
      </c>
      <c r="W41" s="1"/>
      <c r="X41" s="1">
        <f t="shared" si="34"/>
        <v>-19.02</v>
      </c>
      <c r="Y41" s="1"/>
      <c r="Z41" s="5">
        <f t="shared" si="35"/>
        <v>0</v>
      </c>
    </row>
    <row r="42" spans="1:26" s="24" customFormat="1" hidden="1" outlineLevel="2" x14ac:dyDescent="0.3">
      <c r="A42" s="27"/>
      <c r="B42" s="12" t="str">
        <f>CONCATENATE("          ", "6272", " - ", "CASH (OVER/SHORT)")</f>
        <v xml:space="preserve">          6272 - CASH (OVER/SHORT)</v>
      </c>
      <c r="C42" s="12"/>
      <c r="D42" s="8">
        <v>-19.02</v>
      </c>
      <c r="E42" s="3"/>
      <c r="F42" s="7">
        <f t="shared" si="28"/>
        <v>-9.6536903540752337E-4</v>
      </c>
      <c r="G42" s="3"/>
      <c r="H42" s="8"/>
      <c r="I42" s="3"/>
      <c r="J42" s="7">
        <f t="shared" si="29"/>
        <v>0</v>
      </c>
      <c r="K42" s="3"/>
      <c r="L42" s="8">
        <f t="shared" si="30"/>
        <v>-19.02</v>
      </c>
      <c r="M42" s="3"/>
      <c r="N42" s="7">
        <f t="shared" si="31"/>
        <v>0</v>
      </c>
      <c r="O42" s="12"/>
      <c r="P42" s="8">
        <v>-19.02</v>
      </c>
      <c r="Q42" s="3"/>
      <c r="R42" s="7">
        <f t="shared" si="32"/>
        <v>-9.6536903540752337E-4</v>
      </c>
      <c r="S42" s="3"/>
      <c r="T42" s="8"/>
      <c r="U42" s="3"/>
      <c r="V42" s="7">
        <f t="shared" si="33"/>
        <v>0</v>
      </c>
      <c r="W42" s="3"/>
      <c r="X42" s="8">
        <f t="shared" si="34"/>
        <v>-19.02</v>
      </c>
      <c r="Y42" s="3"/>
      <c r="Z42" s="7">
        <f t="shared" si="35"/>
        <v>0</v>
      </c>
    </row>
    <row r="43" spans="1:26" s="29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933.25</v>
      </c>
      <c r="E43" s="1"/>
      <c r="F43" s="5">
        <f t="shared" si="28"/>
        <v>4.7367542181602058E-2</v>
      </c>
      <c r="G43" s="1"/>
      <c r="H43" s="1">
        <f>SUM(OSRRefH22_4x_0)</f>
        <v>282.82</v>
      </c>
      <c r="I43" s="1"/>
      <c r="J43" s="5">
        <f t="shared" si="29"/>
        <v>0.29009857320162885</v>
      </c>
      <c r="K43" s="1"/>
      <c r="L43" s="1">
        <f t="shared" si="30"/>
        <v>650.43000000000006</v>
      </c>
      <c r="M43" s="1"/>
      <c r="N43" s="5">
        <f t="shared" si="31"/>
        <v>2.2998019942012591</v>
      </c>
      <c r="O43" s="14"/>
      <c r="P43" s="1">
        <f>SUM(OSRRefP22_4x_0)</f>
        <v>933.25</v>
      </c>
      <c r="Q43" s="1"/>
      <c r="R43" s="5">
        <f t="shared" si="32"/>
        <v>4.7367542181602058E-2</v>
      </c>
      <c r="S43" s="1"/>
      <c r="T43" s="1">
        <f>SUM(OSRRefT22_4x_0)</f>
        <v>282.82</v>
      </c>
      <c r="U43" s="1"/>
      <c r="V43" s="5">
        <f t="shared" si="33"/>
        <v>0.29009857320162885</v>
      </c>
      <c r="W43" s="1"/>
      <c r="X43" s="1">
        <f t="shared" si="34"/>
        <v>650.43000000000006</v>
      </c>
      <c r="Y43" s="1"/>
      <c r="Z43" s="5">
        <f t="shared" si="35"/>
        <v>2.2998019942012591</v>
      </c>
    </row>
    <row r="44" spans="1:26" s="24" customFormat="1" hidden="1" outlineLevel="2" x14ac:dyDescent="0.3">
      <c r="A44" s="27"/>
      <c r="B44" s="12" t="str">
        <f>CONCATENATE("          ", "6381", " - ", "BANK/CREDIT CARD FEES")</f>
        <v xml:space="preserve">          6381 - BANK/CREDIT CARD FEES</v>
      </c>
      <c r="C44" s="12"/>
      <c r="D44" s="8">
        <v>933.25</v>
      </c>
      <c r="E44" s="3"/>
      <c r="F44" s="7">
        <f t="shared" si="28"/>
        <v>4.7367542181602058E-2</v>
      </c>
      <c r="G44" s="3"/>
      <c r="H44" s="8">
        <v>282.82</v>
      </c>
      <c r="I44" s="3"/>
      <c r="J44" s="7">
        <f t="shared" si="29"/>
        <v>0.29009857320162885</v>
      </c>
      <c r="K44" s="3"/>
      <c r="L44" s="8">
        <f t="shared" si="30"/>
        <v>650.43000000000006</v>
      </c>
      <c r="M44" s="3"/>
      <c r="N44" s="7">
        <f t="shared" si="31"/>
        <v>2.2998019942012591</v>
      </c>
      <c r="O44" s="12"/>
      <c r="P44" s="8">
        <v>933.25</v>
      </c>
      <c r="Q44" s="3"/>
      <c r="R44" s="7">
        <f t="shared" si="32"/>
        <v>4.7367542181602058E-2</v>
      </c>
      <c r="S44" s="3"/>
      <c r="T44" s="8">
        <v>282.82</v>
      </c>
      <c r="U44" s="3"/>
      <c r="V44" s="7">
        <f t="shared" si="33"/>
        <v>0.29009857320162885</v>
      </c>
      <c r="W44" s="3"/>
      <c r="X44" s="8">
        <f t="shared" si="34"/>
        <v>650.43000000000006</v>
      </c>
      <c r="Y44" s="3"/>
      <c r="Z44" s="7">
        <f t="shared" si="35"/>
        <v>2.2998019942012591</v>
      </c>
    </row>
    <row r="45" spans="1:26" s="29" customFormat="1" outlineLevel="1" collapsed="1" x14ac:dyDescent="0.3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32826.11</v>
      </c>
      <c r="E45" s="1"/>
      <c r="F45" s="5">
        <f t="shared" si="28"/>
        <v>1.6661046344311914</v>
      </c>
      <c r="G45" s="1"/>
      <c r="H45" s="1">
        <f>SUM(OSRRefH22_5x_0)</f>
        <v>37556.01</v>
      </c>
      <c r="I45" s="1"/>
      <c r="J45" s="5">
        <f t="shared" si="29"/>
        <v>38.522540542203899</v>
      </c>
      <c r="K45" s="1"/>
      <c r="L45" s="1">
        <f t="shared" si="30"/>
        <v>-4729.9000000000015</v>
      </c>
      <c r="M45" s="1"/>
      <c r="N45" s="5">
        <f t="shared" si="31"/>
        <v>-0.12594255886075229</v>
      </c>
      <c r="O45" s="14"/>
      <c r="P45" s="1">
        <f>SUM(OSRRefP22_5x_0)</f>
        <v>32826.11</v>
      </c>
      <c r="Q45" s="1"/>
      <c r="R45" s="5">
        <f t="shared" si="32"/>
        <v>1.6661046344311914</v>
      </c>
      <c r="S45" s="1"/>
      <c r="T45" s="1">
        <f>SUM(OSRRefT22_5x_0)</f>
        <v>37556.01</v>
      </c>
      <c r="U45" s="1"/>
      <c r="V45" s="5">
        <f t="shared" si="33"/>
        <v>38.522540542203899</v>
      </c>
      <c r="W45" s="1"/>
      <c r="X45" s="1">
        <f t="shared" si="34"/>
        <v>-4729.9000000000015</v>
      </c>
      <c r="Y45" s="1"/>
      <c r="Z45" s="5">
        <f t="shared" si="35"/>
        <v>-0.12594255886075229</v>
      </c>
    </row>
    <row r="46" spans="1:26" s="24" customFormat="1" hidden="1" outlineLevel="2" x14ac:dyDescent="0.3">
      <c r="A46" s="27"/>
      <c r="B46" s="12" t="str">
        <f>CONCATENATE("          ", "6321", " - ", "BUILDING DEPRECIATION")</f>
        <v xml:space="preserve">          6321 - BUILDING DEPRECIATION</v>
      </c>
      <c r="C46" s="12"/>
      <c r="D46" s="8">
        <v>23583.47</v>
      </c>
      <c r="E46" s="3"/>
      <c r="F46" s="7">
        <f t="shared" si="28"/>
        <v>1.1969900991305082</v>
      </c>
      <c r="G46" s="3"/>
      <c r="H46" s="8">
        <v>23844.89</v>
      </c>
      <c r="I46" s="3"/>
      <c r="J46" s="7">
        <f t="shared" si="29"/>
        <v>24.458555148680393</v>
      </c>
      <c r="K46" s="3"/>
      <c r="L46" s="8">
        <f t="shared" si="30"/>
        <v>-261.41999999999825</v>
      </c>
      <c r="M46" s="3"/>
      <c r="N46" s="7">
        <f t="shared" si="31"/>
        <v>-1.0963355251376638E-2</v>
      </c>
      <c r="O46" s="12"/>
      <c r="P46" s="8">
        <v>23583.47</v>
      </c>
      <c r="Q46" s="3"/>
      <c r="R46" s="7">
        <f t="shared" si="32"/>
        <v>1.1969900991305082</v>
      </c>
      <c r="S46" s="3"/>
      <c r="T46" s="8">
        <v>23844.89</v>
      </c>
      <c r="U46" s="3"/>
      <c r="V46" s="7">
        <f t="shared" si="33"/>
        <v>24.458555148680393</v>
      </c>
      <c r="W46" s="3"/>
      <c r="X46" s="8">
        <f t="shared" si="34"/>
        <v>-261.41999999999825</v>
      </c>
      <c r="Y46" s="3"/>
      <c r="Z46" s="7">
        <f t="shared" si="35"/>
        <v>-1.0963355251376638E-2</v>
      </c>
    </row>
    <row r="47" spans="1:26" s="24" customFormat="1" hidden="1" outlineLevel="2" x14ac:dyDescent="0.3">
      <c r="A47" s="27"/>
      <c r="B47" s="12" t="str">
        <f>CONCATENATE("          ", "6322", " - ", "EQUIPMENT DEPRECIATION EXPENSE")</f>
        <v xml:space="preserve">          6322 - EQUIPMENT DEPRECIATION EXPENSE</v>
      </c>
      <c r="C47" s="12"/>
      <c r="D47" s="8">
        <v>9242.64</v>
      </c>
      <c r="E47" s="3"/>
      <c r="F47" s="7">
        <f t="shared" si="28"/>
        <v>0.46911453530068303</v>
      </c>
      <c r="G47" s="3"/>
      <c r="H47" s="8">
        <v>13711.12</v>
      </c>
      <c r="I47" s="3"/>
      <c r="J47" s="7">
        <f t="shared" si="29"/>
        <v>14.063985393523506</v>
      </c>
      <c r="K47" s="3"/>
      <c r="L47" s="8">
        <f t="shared" si="30"/>
        <v>-4468.4800000000014</v>
      </c>
      <c r="M47" s="3"/>
      <c r="N47" s="7">
        <f t="shared" si="31"/>
        <v>-0.32590189568758798</v>
      </c>
      <c r="O47" s="12"/>
      <c r="P47" s="8">
        <v>9242.64</v>
      </c>
      <c r="Q47" s="3"/>
      <c r="R47" s="7">
        <f t="shared" si="32"/>
        <v>0.46911453530068303</v>
      </c>
      <c r="S47" s="3"/>
      <c r="T47" s="8">
        <v>13711.12</v>
      </c>
      <c r="U47" s="3"/>
      <c r="V47" s="7">
        <f t="shared" si="33"/>
        <v>14.063985393523506</v>
      </c>
      <c r="W47" s="3"/>
      <c r="X47" s="8">
        <f t="shared" si="34"/>
        <v>-4468.4800000000014</v>
      </c>
      <c r="Y47" s="3"/>
      <c r="Z47" s="7">
        <f t="shared" si="35"/>
        <v>-0.32590189568758798</v>
      </c>
    </row>
    <row r="48" spans="1:26" s="29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467.93</v>
      </c>
      <c r="E48" s="1"/>
      <c r="F48" s="5">
        <f t="shared" ref="F48:F60" si="36">IF(D$12=0,0,D48/D$12)</f>
        <v>2.3750006978877098E-2</v>
      </c>
      <c r="G48" s="1"/>
      <c r="H48" s="1">
        <f>SUM(OSRRefH22_6x_0)</f>
        <v>868.95</v>
      </c>
      <c r="I48" s="1"/>
      <c r="J48" s="5">
        <f t="shared" ref="J48:J60" si="37">IF(H$12=0,0,H48/H$12)</f>
        <v>0.89131304428101066</v>
      </c>
      <c r="K48" s="1"/>
      <c r="L48" s="1">
        <f t="shared" ref="L48:L60" si="38">+D48-H48</f>
        <v>-401.02000000000004</v>
      </c>
      <c r="M48" s="1"/>
      <c r="N48" s="5">
        <f t="shared" ref="N48:N60" si="39">IF(H48=0,0,L48/H48)</f>
        <v>-0.46149951090396457</v>
      </c>
      <c r="O48" s="14"/>
      <c r="P48" s="1">
        <f>SUM(OSRRefP22_6x_0)</f>
        <v>467.93</v>
      </c>
      <c r="Q48" s="1"/>
      <c r="R48" s="5">
        <f t="shared" ref="R48:R60" si="40">IF(P$12=0,0,P48/P$12)</f>
        <v>2.3750006978877098E-2</v>
      </c>
      <c r="S48" s="1"/>
      <c r="T48" s="1">
        <f>SUM(OSRRefT22_6x_0)</f>
        <v>868.95</v>
      </c>
      <c r="U48" s="1"/>
      <c r="V48" s="5">
        <f t="shared" ref="V48:V60" si="41">IF(T$12=0,0,T48/T$12)</f>
        <v>0.89131304428101066</v>
      </c>
      <c r="W48" s="1"/>
      <c r="X48" s="1">
        <f t="shared" ref="X48:X60" si="42">+P48-T48</f>
        <v>-401.02000000000004</v>
      </c>
      <c r="Y48" s="1"/>
      <c r="Z48" s="5">
        <f t="shared" ref="Z48:Z60" si="43">IF(T48=0,0,X48/T48)</f>
        <v>-0.46149951090396457</v>
      </c>
    </row>
    <row r="49" spans="1:26" s="24" customFormat="1" hidden="1" outlineLevel="2" x14ac:dyDescent="0.3">
      <c r="A49" s="27"/>
      <c r="B49" s="12" t="str">
        <f>CONCATENATE("          ", "6351", " - ", "EQUIPMENT RENTAL")</f>
        <v xml:space="preserve">          6351 - EQUIPMENT RENTAL</v>
      </c>
      <c r="C49" s="12"/>
      <c r="D49" s="8">
        <v>467.93</v>
      </c>
      <c r="E49" s="3"/>
      <c r="F49" s="7">
        <f t="shared" si="36"/>
        <v>2.3750006978877098E-2</v>
      </c>
      <c r="G49" s="3"/>
      <c r="H49" s="8">
        <v>868.95</v>
      </c>
      <c r="I49" s="3"/>
      <c r="J49" s="7">
        <f t="shared" si="37"/>
        <v>0.89131304428101066</v>
      </c>
      <c r="K49" s="3"/>
      <c r="L49" s="8">
        <f t="shared" si="38"/>
        <v>-401.02000000000004</v>
      </c>
      <c r="M49" s="3"/>
      <c r="N49" s="7">
        <f t="shared" si="39"/>
        <v>-0.46149951090396457</v>
      </c>
      <c r="O49" s="12"/>
      <c r="P49" s="8">
        <v>467.93</v>
      </c>
      <c r="Q49" s="3"/>
      <c r="R49" s="7">
        <f t="shared" si="40"/>
        <v>2.3750006978877098E-2</v>
      </c>
      <c r="S49" s="3"/>
      <c r="T49" s="8">
        <v>868.95</v>
      </c>
      <c r="U49" s="3"/>
      <c r="V49" s="7">
        <f t="shared" si="41"/>
        <v>0.89131304428101066</v>
      </c>
      <c r="W49" s="3"/>
      <c r="X49" s="8">
        <f t="shared" si="42"/>
        <v>-401.02000000000004</v>
      </c>
      <c r="Y49" s="3"/>
      <c r="Z49" s="7">
        <f t="shared" si="43"/>
        <v>-0.46149951090396457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SUM(OSRRefD22_7x_0)</f>
        <v>165.28</v>
      </c>
      <c r="E50" s="1"/>
      <c r="F50" s="5">
        <f t="shared" si="36"/>
        <v>8.3888640469061762E-3</v>
      </c>
      <c r="G50" s="1"/>
      <c r="H50" s="1">
        <f>SUM(OSRRefH22_7x_0)</f>
        <v>4323.2</v>
      </c>
      <c r="I50" s="1"/>
      <c r="J50" s="5">
        <f t="shared" si="37"/>
        <v>4.4344606168774554</v>
      </c>
      <c r="K50" s="1"/>
      <c r="L50" s="1">
        <f t="shared" si="38"/>
        <v>-4157.92</v>
      </c>
      <c r="M50" s="1"/>
      <c r="N50" s="5">
        <f t="shared" si="39"/>
        <v>-0.96176905995558848</v>
      </c>
      <c r="O50" s="14"/>
      <c r="P50" s="1">
        <f>SUM(OSRRefP22_7x_0)</f>
        <v>165.28</v>
      </c>
      <c r="Q50" s="1"/>
      <c r="R50" s="5">
        <f t="shared" si="40"/>
        <v>8.3888640469061762E-3</v>
      </c>
      <c r="S50" s="1"/>
      <c r="T50" s="1">
        <f>SUM(OSRRefT22_7x_0)</f>
        <v>4323.2</v>
      </c>
      <c r="U50" s="1"/>
      <c r="V50" s="5">
        <f t="shared" si="41"/>
        <v>4.4344606168774554</v>
      </c>
      <c r="W50" s="1"/>
      <c r="X50" s="1">
        <f t="shared" si="42"/>
        <v>-4157.92</v>
      </c>
      <c r="Y50" s="1"/>
      <c r="Z50" s="5">
        <f t="shared" si="43"/>
        <v>-0.96176905995558848</v>
      </c>
    </row>
    <row r="51" spans="1:26" s="24" customFormat="1" hidden="1" outlineLevel="2" x14ac:dyDescent="0.3">
      <c r="A51" s="27"/>
      <c r="B51" s="12" t="str">
        <f>CONCATENATE("          ", "6279", " - ", "GENERAL EXPENSE")</f>
        <v xml:space="preserve">          6279 - GENERAL EXPENSE</v>
      </c>
      <c r="C51" s="12"/>
      <c r="D51" s="8">
        <v>165.28</v>
      </c>
      <c r="E51" s="3"/>
      <c r="F51" s="7">
        <f t="shared" si="36"/>
        <v>8.3888640469061762E-3</v>
      </c>
      <c r="G51" s="3"/>
      <c r="H51" s="8">
        <v>4323.2</v>
      </c>
      <c r="I51" s="3"/>
      <c r="J51" s="7">
        <f t="shared" si="37"/>
        <v>4.4344606168774554</v>
      </c>
      <c r="K51" s="3"/>
      <c r="L51" s="8">
        <f t="shared" si="38"/>
        <v>-4157.92</v>
      </c>
      <c r="M51" s="3"/>
      <c r="N51" s="7">
        <f t="shared" si="39"/>
        <v>-0.96176905995558848</v>
      </c>
      <c r="O51" s="12"/>
      <c r="P51" s="8">
        <v>165.28</v>
      </c>
      <c r="Q51" s="3"/>
      <c r="R51" s="7">
        <f t="shared" si="40"/>
        <v>8.3888640469061762E-3</v>
      </c>
      <c r="S51" s="3"/>
      <c r="T51" s="8">
        <v>4323.2</v>
      </c>
      <c r="U51" s="3"/>
      <c r="V51" s="7">
        <f t="shared" si="41"/>
        <v>4.4344606168774554</v>
      </c>
      <c r="W51" s="3"/>
      <c r="X51" s="8">
        <f t="shared" si="42"/>
        <v>-4157.92</v>
      </c>
      <c r="Y51" s="3"/>
      <c r="Z51" s="7">
        <f t="shared" si="43"/>
        <v>-0.96176905995558848</v>
      </c>
    </row>
    <row r="52" spans="1:26" s="29" customFormat="1" outlineLevel="1" collapsed="1" x14ac:dyDescent="0.3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5756.21</v>
      </c>
      <c r="E52" s="1"/>
      <c r="F52" s="5">
        <f t="shared" si="36"/>
        <v>0.29215914276041749</v>
      </c>
      <c r="G52" s="1"/>
      <c r="H52" s="1">
        <f>SUM(OSRRefH22_8x_0)</f>
        <v>4240.13</v>
      </c>
      <c r="I52" s="1"/>
      <c r="J52" s="5">
        <f t="shared" si="37"/>
        <v>4.3492527515360395</v>
      </c>
      <c r="K52" s="1"/>
      <c r="L52" s="1">
        <f t="shared" si="38"/>
        <v>1516.08</v>
      </c>
      <c r="M52" s="1"/>
      <c r="N52" s="5">
        <f t="shared" si="39"/>
        <v>0.35755507496232425</v>
      </c>
      <c r="O52" s="14"/>
      <c r="P52" s="1">
        <f>SUM(OSRRefP22_8x_0)</f>
        <v>5756.21</v>
      </c>
      <c r="Q52" s="1"/>
      <c r="R52" s="5">
        <f t="shared" si="40"/>
        <v>0.29215914276041749</v>
      </c>
      <c r="S52" s="1"/>
      <c r="T52" s="1">
        <f>SUM(OSRRefT22_8x_0)</f>
        <v>4240.13</v>
      </c>
      <c r="U52" s="1"/>
      <c r="V52" s="5">
        <f t="shared" si="41"/>
        <v>4.3492527515360395</v>
      </c>
      <c r="W52" s="1"/>
      <c r="X52" s="1">
        <f t="shared" si="42"/>
        <v>1516.08</v>
      </c>
      <c r="Y52" s="1"/>
      <c r="Z52" s="5">
        <f t="shared" si="43"/>
        <v>0.35755507496232425</v>
      </c>
    </row>
    <row r="53" spans="1:26" s="24" customFormat="1" hidden="1" outlineLevel="2" x14ac:dyDescent="0.3">
      <c r="A53" s="27"/>
      <c r="B53" s="12" t="str">
        <f>CONCATENATE("          ", "6314", " - ", "LIABILITY INSURANCE")</f>
        <v xml:space="preserve">          6314 - LIABILITY INSURANCE</v>
      </c>
      <c r="C53" s="12"/>
      <c r="D53" s="8">
        <v>5756.21</v>
      </c>
      <c r="E53" s="3"/>
      <c r="F53" s="7">
        <f t="shared" si="36"/>
        <v>0.29215914276041749</v>
      </c>
      <c r="G53" s="3"/>
      <c r="H53" s="8">
        <v>4240.13</v>
      </c>
      <c r="I53" s="3"/>
      <c r="J53" s="7">
        <f t="shared" si="37"/>
        <v>4.3492527515360395</v>
      </c>
      <c r="K53" s="3"/>
      <c r="L53" s="8">
        <f t="shared" si="38"/>
        <v>1516.08</v>
      </c>
      <c r="M53" s="3"/>
      <c r="N53" s="7">
        <f t="shared" si="39"/>
        <v>0.35755507496232425</v>
      </c>
      <c r="O53" s="12"/>
      <c r="P53" s="8">
        <v>5756.21</v>
      </c>
      <c r="Q53" s="3"/>
      <c r="R53" s="7">
        <f t="shared" si="40"/>
        <v>0.29215914276041749</v>
      </c>
      <c r="S53" s="3"/>
      <c r="T53" s="8">
        <v>4240.13</v>
      </c>
      <c r="U53" s="3"/>
      <c r="V53" s="7">
        <f t="shared" si="41"/>
        <v>4.3492527515360395</v>
      </c>
      <c r="W53" s="3"/>
      <c r="X53" s="8">
        <f t="shared" si="42"/>
        <v>1516.08</v>
      </c>
      <c r="Y53" s="3"/>
      <c r="Z53" s="7">
        <f t="shared" si="43"/>
        <v>0.35755507496232425</v>
      </c>
    </row>
    <row r="54" spans="1:26" s="29" customFormat="1" outlineLevel="1" collapsed="1" x14ac:dyDescent="0.3">
      <c r="A54" s="28"/>
      <c r="B54" s="14" t="str">
        <f>CONCATENATE("     ","Interest                                          ")</f>
        <v xml:space="preserve">     Interest                                          </v>
      </c>
      <c r="C54" s="14"/>
      <c r="D54" s="1">
        <f>SUM(OSRRefD22_9x_0)</f>
        <v>7253</v>
      </c>
      <c r="E54" s="1"/>
      <c r="F54" s="5">
        <f t="shared" si="36"/>
        <v>0.36812942238752722</v>
      </c>
      <c r="G54" s="1"/>
      <c r="H54" s="1">
        <f>SUM(OSRRefH22_9x_0)</f>
        <v>7510</v>
      </c>
      <c r="I54" s="1"/>
      <c r="J54" s="5">
        <f t="shared" si="37"/>
        <v>7.7032751741186365</v>
      </c>
      <c r="K54" s="1"/>
      <c r="L54" s="1">
        <f t="shared" si="38"/>
        <v>-257</v>
      </c>
      <c r="M54" s="1"/>
      <c r="N54" s="5">
        <f t="shared" si="39"/>
        <v>-3.4221038615179764E-2</v>
      </c>
      <c r="O54" s="14"/>
      <c r="P54" s="1">
        <f>SUM(OSRRefP22_9x_0)</f>
        <v>7253</v>
      </c>
      <c r="Q54" s="1"/>
      <c r="R54" s="5">
        <f t="shared" si="40"/>
        <v>0.36812942238752722</v>
      </c>
      <c r="S54" s="1"/>
      <c r="T54" s="1">
        <f>SUM(OSRRefT22_9x_0)</f>
        <v>7510</v>
      </c>
      <c r="U54" s="1"/>
      <c r="V54" s="5">
        <f t="shared" si="41"/>
        <v>7.7032751741186365</v>
      </c>
      <c r="W54" s="1"/>
      <c r="X54" s="1">
        <f t="shared" si="42"/>
        <v>-257</v>
      </c>
      <c r="Y54" s="1"/>
      <c r="Z54" s="5">
        <f t="shared" si="43"/>
        <v>-3.4221038615179764E-2</v>
      </c>
    </row>
    <row r="55" spans="1:26" s="24" customFormat="1" hidden="1" outlineLevel="2" x14ac:dyDescent="0.3">
      <c r="A55" s="27"/>
      <c r="B55" s="12" t="str">
        <f>CONCATENATE("          ", "6401", " - ", "INTEREST EXPENSE")</f>
        <v xml:space="preserve">          6401 - INTEREST EXPENSE</v>
      </c>
      <c r="C55" s="12"/>
      <c r="D55" s="8">
        <v>7253</v>
      </c>
      <c r="E55" s="3"/>
      <c r="F55" s="7">
        <f t="shared" si="36"/>
        <v>0.36812942238752722</v>
      </c>
      <c r="G55" s="3"/>
      <c r="H55" s="8">
        <v>7510</v>
      </c>
      <c r="I55" s="3"/>
      <c r="J55" s="7">
        <f t="shared" si="37"/>
        <v>7.7032751741186365</v>
      </c>
      <c r="K55" s="3"/>
      <c r="L55" s="8">
        <f t="shared" si="38"/>
        <v>-257</v>
      </c>
      <c r="M55" s="3"/>
      <c r="N55" s="7">
        <f t="shared" si="39"/>
        <v>-3.4221038615179764E-2</v>
      </c>
      <c r="O55" s="12"/>
      <c r="P55" s="8">
        <v>7253</v>
      </c>
      <c r="Q55" s="3"/>
      <c r="R55" s="7">
        <f t="shared" si="40"/>
        <v>0.36812942238752722</v>
      </c>
      <c r="S55" s="3"/>
      <c r="T55" s="8">
        <v>7510</v>
      </c>
      <c r="U55" s="3"/>
      <c r="V55" s="7">
        <f t="shared" si="41"/>
        <v>7.7032751741186365</v>
      </c>
      <c r="W55" s="3"/>
      <c r="X55" s="8">
        <f t="shared" si="42"/>
        <v>-257</v>
      </c>
      <c r="Y55" s="3"/>
      <c r="Z55" s="7">
        <f t="shared" si="43"/>
        <v>-3.4221038615179764E-2</v>
      </c>
    </row>
    <row r="56" spans="1:26" s="29" customFormat="1" outlineLevel="1" collapsed="1" x14ac:dyDescent="0.3">
      <c r="A56" s="28"/>
      <c r="B56" s="14" t="str">
        <f>CONCATENATE("     ","Rent                                              ")</f>
        <v xml:space="preserve">     Rent                                              </v>
      </c>
      <c r="C56" s="14"/>
      <c r="D56" s="1">
        <f>SUM(OSRRefD22_10x_0)</f>
        <v>1850</v>
      </c>
      <c r="E56" s="1"/>
      <c r="F56" s="5">
        <f t="shared" si="36"/>
        <v>9.3897619111667621E-2</v>
      </c>
      <c r="G56" s="1"/>
      <c r="H56" s="1">
        <f>SUM(OSRRefH22_10x_0)</f>
        <v>0</v>
      </c>
      <c r="I56" s="1"/>
      <c r="J56" s="5">
        <f t="shared" si="37"/>
        <v>0</v>
      </c>
      <c r="K56" s="1"/>
      <c r="L56" s="1">
        <f t="shared" si="38"/>
        <v>1850</v>
      </c>
      <c r="M56" s="1"/>
      <c r="N56" s="5">
        <f t="shared" si="39"/>
        <v>0</v>
      </c>
      <c r="O56" s="14"/>
      <c r="P56" s="1">
        <f>SUM(OSRRefP22_10x_0)</f>
        <v>1850</v>
      </c>
      <c r="Q56" s="1"/>
      <c r="R56" s="5">
        <f t="shared" si="40"/>
        <v>9.3897619111667621E-2</v>
      </c>
      <c r="S56" s="1"/>
      <c r="T56" s="1">
        <f>SUM(OSRRefT22_10x_0)</f>
        <v>0</v>
      </c>
      <c r="U56" s="1"/>
      <c r="V56" s="5">
        <f t="shared" si="41"/>
        <v>0</v>
      </c>
      <c r="W56" s="1"/>
      <c r="X56" s="1">
        <f t="shared" si="42"/>
        <v>1850</v>
      </c>
      <c r="Y56" s="1"/>
      <c r="Z56" s="5">
        <f t="shared" si="43"/>
        <v>0</v>
      </c>
    </row>
    <row r="57" spans="1:26" s="24" customFormat="1" hidden="1" outlineLevel="2" x14ac:dyDescent="0.3">
      <c r="A57" s="27"/>
      <c r="B57" s="12" t="str">
        <f>CONCATENATE("          ", "6273", " - ", "RENT")</f>
        <v xml:space="preserve">          6273 - RENT</v>
      </c>
      <c r="C57" s="12"/>
      <c r="D57" s="8">
        <v>1850</v>
      </c>
      <c r="E57" s="3"/>
      <c r="F57" s="7">
        <f t="shared" si="36"/>
        <v>9.3897619111667621E-2</v>
      </c>
      <c r="G57" s="3"/>
      <c r="H57" s="8"/>
      <c r="I57" s="3"/>
      <c r="J57" s="7">
        <f t="shared" si="37"/>
        <v>0</v>
      </c>
      <c r="K57" s="3"/>
      <c r="L57" s="8">
        <f t="shared" si="38"/>
        <v>1850</v>
      </c>
      <c r="M57" s="3"/>
      <c r="N57" s="7">
        <f t="shared" si="39"/>
        <v>0</v>
      </c>
      <c r="O57" s="12"/>
      <c r="P57" s="8">
        <v>1850</v>
      </c>
      <c r="Q57" s="3"/>
      <c r="R57" s="7">
        <f t="shared" si="40"/>
        <v>9.3897619111667621E-2</v>
      </c>
      <c r="S57" s="3"/>
      <c r="T57" s="8"/>
      <c r="U57" s="3"/>
      <c r="V57" s="7">
        <f t="shared" si="41"/>
        <v>0</v>
      </c>
      <c r="W57" s="3"/>
      <c r="X57" s="8">
        <f t="shared" si="42"/>
        <v>1850</v>
      </c>
      <c r="Y57" s="3"/>
      <c r="Z57" s="7">
        <f t="shared" si="43"/>
        <v>0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3131.71</v>
      </c>
      <c r="E58" s="1"/>
      <c r="F58" s="5">
        <f t="shared" si="36"/>
        <v>0.15895141229632467</v>
      </c>
      <c r="G58" s="1"/>
      <c r="H58" s="1">
        <f>SUM(OSRRefH22_11x_0)</f>
        <v>4110.41</v>
      </c>
      <c r="I58" s="1"/>
      <c r="J58" s="5">
        <f t="shared" si="37"/>
        <v>4.2161943153727011</v>
      </c>
      <c r="K58" s="1"/>
      <c r="L58" s="1">
        <f t="shared" si="38"/>
        <v>-978.69999999999982</v>
      </c>
      <c r="M58" s="1"/>
      <c r="N58" s="5">
        <f t="shared" si="39"/>
        <v>-0.23810276833697852</v>
      </c>
      <c r="O58" s="14"/>
      <c r="P58" s="1">
        <f>SUM(OSRRefP22_11x_0)</f>
        <v>3131.71</v>
      </c>
      <c r="Q58" s="1"/>
      <c r="R58" s="5">
        <f t="shared" si="40"/>
        <v>0.15895141229632467</v>
      </c>
      <c r="S58" s="1"/>
      <c r="T58" s="1">
        <f>SUM(OSRRefT22_11x_0)</f>
        <v>4110.41</v>
      </c>
      <c r="U58" s="1"/>
      <c r="V58" s="5">
        <f t="shared" si="41"/>
        <v>4.2161943153727011</v>
      </c>
      <c r="W58" s="1"/>
      <c r="X58" s="1">
        <f t="shared" si="42"/>
        <v>-978.69999999999982</v>
      </c>
      <c r="Y58" s="1"/>
      <c r="Z58" s="5">
        <f t="shared" si="43"/>
        <v>-0.23810276833697852</v>
      </c>
    </row>
    <row r="59" spans="1:26" s="24" customFormat="1" hidden="1" outlineLevel="2" x14ac:dyDescent="0.3">
      <c r="A59" s="27"/>
      <c r="B59" s="12" t="str">
        <f>CONCATENATE("          ", "6373", " - ", "MAINTENANCE CONTRACTS")</f>
        <v xml:space="preserve">          6373 - MAINTENANCE CONTRACTS</v>
      </c>
      <c r="C59" s="12"/>
      <c r="D59" s="8">
        <v>0.87</v>
      </c>
      <c r="E59" s="3"/>
      <c r="F59" s="7">
        <f t="shared" si="36"/>
        <v>4.415725871737883E-5</v>
      </c>
      <c r="G59" s="3"/>
      <c r="H59" s="8">
        <v>2353.59</v>
      </c>
      <c r="I59" s="3"/>
      <c r="J59" s="7">
        <f t="shared" si="37"/>
        <v>2.4141613071975878</v>
      </c>
      <c r="K59" s="3"/>
      <c r="L59" s="8">
        <f t="shared" si="38"/>
        <v>-2352.7200000000003</v>
      </c>
      <c r="M59" s="3"/>
      <c r="N59" s="7">
        <f t="shared" si="39"/>
        <v>-0.99963035193045524</v>
      </c>
      <c r="O59" s="12"/>
      <c r="P59" s="8">
        <v>0.87</v>
      </c>
      <c r="Q59" s="3"/>
      <c r="R59" s="7">
        <f t="shared" si="40"/>
        <v>4.415725871737883E-5</v>
      </c>
      <c r="S59" s="3"/>
      <c r="T59" s="8">
        <v>2353.59</v>
      </c>
      <c r="U59" s="3"/>
      <c r="V59" s="7">
        <f t="shared" si="41"/>
        <v>2.4141613071975878</v>
      </c>
      <c r="W59" s="3"/>
      <c r="X59" s="8">
        <f t="shared" si="42"/>
        <v>-2352.7200000000003</v>
      </c>
      <c r="Y59" s="3"/>
      <c r="Z59" s="7">
        <f t="shared" si="43"/>
        <v>-0.99963035193045524</v>
      </c>
    </row>
    <row r="60" spans="1:26" s="24" customFormat="1" hidden="1" outlineLevel="2" x14ac:dyDescent="0.3">
      <c r="A60" s="27"/>
      <c r="B60" s="12" t="str">
        <f>CONCATENATE("          ", "6375", " - ", "OUTSIDE REPAIRS &amp; MAINTENANCE")</f>
        <v xml:space="preserve">          6375 - OUTSIDE REPAIRS &amp; MAINTENANCE</v>
      </c>
      <c r="C60" s="12"/>
      <c r="D60" s="8">
        <v>3130.84</v>
      </c>
      <c r="E60" s="3"/>
      <c r="F60" s="7">
        <f t="shared" si="36"/>
        <v>0.1589072550376073</v>
      </c>
      <c r="G60" s="3"/>
      <c r="H60" s="8">
        <v>1756.82</v>
      </c>
      <c r="I60" s="3"/>
      <c r="J60" s="7">
        <f t="shared" si="37"/>
        <v>1.8020330081751137</v>
      </c>
      <c r="K60" s="3"/>
      <c r="L60" s="8">
        <f t="shared" si="38"/>
        <v>1374.0200000000002</v>
      </c>
      <c r="M60" s="3"/>
      <c r="N60" s="7">
        <f t="shared" si="39"/>
        <v>0.78210630571145612</v>
      </c>
      <c r="O60" s="12"/>
      <c r="P60" s="8">
        <v>3130.84</v>
      </c>
      <c r="Q60" s="3"/>
      <c r="R60" s="7">
        <f t="shared" si="40"/>
        <v>0.1589072550376073</v>
      </c>
      <c r="S60" s="3"/>
      <c r="T60" s="8">
        <v>1756.82</v>
      </c>
      <c r="U60" s="3"/>
      <c r="V60" s="7">
        <f t="shared" si="41"/>
        <v>1.8020330081751137</v>
      </c>
      <c r="W60" s="3"/>
      <c r="X60" s="8">
        <f t="shared" si="42"/>
        <v>1374.0200000000002</v>
      </c>
      <c r="Y60" s="3"/>
      <c r="Z60" s="7">
        <f t="shared" si="43"/>
        <v>0.78210630571145612</v>
      </c>
    </row>
    <row r="61" spans="1:26" s="29" customFormat="1" outlineLevel="1" collapsed="1" x14ac:dyDescent="0.3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4589.2299999999996</v>
      </c>
      <c r="E61" s="1"/>
      <c r="F61" s="5">
        <f t="shared" ref="F61:F65" si="44">IF(D$12=0,0,D61/D$12)</f>
        <v>0.23292852462477751</v>
      </c>
      <c r="G61" s="1"/>
      <c r="H61" s="1">
        <f>SUM(OSRRefH22_12x_0)</f>
        <v>1607.1999999999998</v>
      </c>
      <c r="I61" s="1"/>
      <c r="J61" s="5">
        <f t="shared" ref="J61:J65" si="45">IF(H$12=0,0,H61/H$12)</f>
        <v>1.6485624314039242</v>
      </c>
      <c r="K61" s="1"/>
      <c r="L61" s="1">
        <f t="shared" ref="L61:L65" si="46">+D61-H61</f>
        <v>2982.0299999999997</v>
      </c>
      <c r="M61" s="1"/>
      <c r="N61" s="5">
        <f t="shared" ref="N61:N65" si="47">IF(H61=0,0,L61/H61)</f>
        <v>1.8554193628670981</v>
      </c>
      <c r="O61" s="14"/>
      <c r="P61" s="1">
        <f>SUM(OSRRefP22_12x_0)</f>
        <v>4589.2299999999996</v>
      </c>
      <c r="Q61" s="1"/>
      <c r="R61" s="5">
        <f t="shared" ref="R61:R65" si="48">IF(P$12=0,0,P61/P$12)</f>
        <v>0.23292852462477751</v>
      </c>
      <c r="S61" s="1"/>
      <c r="T61" s="1">
        <f>SUM(OSRRefT22_12x_0)</f>
        <v>1607.1999999999998</v>
      </c>
      <c r="U61" s="1"/>
      <c r="V61" s="5">
        <f t="shared" ref="V61:V65" si="49">IF(T$12=0,0,T61/T$12)</f>
        <v>1.6485624314039242</v>
      </c>
      <c r="W61" s="1"/>
      <c r="X61" s="1">
        <f t="shared" ref="X61:X65" si="50">+P61-T61</f>
        <v>2982.0299999999997</v>
      </c>
      <c r="Y61" s="1"/>
      <c r="Z61" s="5">
        <f t="shared" ref="Z61:Z65" si="51">IF(T61=0,0,X61/T61)</f>
        <v>1.8554193628670981</v>
      </c>
    </row>
    <row r="62" spans="1:26" s="24" customFormat="1" hidden="1" outlineLevel="2" x14ac:dyDescent="0.3">
      <c r="A62" s="27"/>
      <c r="B62" s="12" t="str">
        <f>CONCATENATE("          ", "6282", " - ", "JANITORIAL/EXTERMINATOR EXPENS")</f>
        <v xml:space="preserve">          6282 - JANITORIAL/EXTERMINATOR EXPENS</v>
      </c>
      <c r="C62" s="12"/>
      <c r="D62" s="8">
        <v>670.1</v>
      </c>
      <c r="E62" s="3"/>
      <c r="F62" s="7">
        <f t="shared" si="44"/>
        <v>3.4011240306339716E-2</v>
      </c>
      <c r="G62" s="3"/>
      <c r="H62" s="8">
        <v>286.62</v>
      </c>
      <c r="I62" s="3"/>
      <c r="J62" s="7">
        <f t="shared" si="45"/>
        <v>0.29399636889559039</v>
      </c>
      <c r="K62" s="3"/>
      <c r="L62" s="8">
        <f t="shared" si="46"/>
        <v>383.48</v>
      </c>
      <c r="M62" s="3"/>
      <c r="N62" s="7">
        <f t="shared" si="47"/>
        <v>1.3379387342125462</v>
      </c>
      <c r="O62" s="12"/>
      <c r="P62" s="8">
        <v>670.1</v>
      </c>
      <c r="Q62" s="3"/>
      <c r="R62" s="7">
        <f t="shared" si="48"/>
        <v>3.4011240306339716E-2</v>
      </c>
      <c r="S62" s="3"/>
      <c r="T62" s="8">
        <v>286.62</v>
      </c>
      <c r="U62" s="3"/>
      <c r="V62" s="7">
        <f t="shared" si="49"/>
        <v>0.29399636889559039</v>
      </c>
      <c r="W62" s="3"/>
      <c r="X62" s="8">
        <f t="shared" si="50"/>
        <v>383.48</v>
      </c>
      <c r="Y62" s="3"/>
      <c r="Z62" s="7">
        <f t="shared" si="51"/>
        <v>1.3379387342125462</v>
      </c>
    </row>
    <row r="63" spans="1:26" s="24" customFormat="1" hidden="1" outlineLevel="2" x14ac:dyDescent="0.3">
      <c r="A63" s="27"/>
      <c r="B63" s="12" t="str">
        <f>CONCATENATE("          ", "6284", " - ", "TRASH REMOVAL EXPENSE")</f>
        <v xml:space="preserve">          6284 - TRASH REMOVAL EXPENSE</v>
      </c>
      <c r="C63" s="12"/>
      <c r="D63" s="8"/>
      <c r="E63" s="3"/>
      <c r="F63" s="7">
        <f t="shared" si="44"/>
        <v>0</v>
      </c>
      <c r="G63" s="3"/>
      <c r="H63" s="8">
        <v>1000</v>
      </c>
      <c r="I63" s="3"/>
      <c r="J63" s="7">
        <f t="shared" si="45"/>
        <v>1.0257357089372352</v>
      </c>
      <c r="K63" s="3"/>
      <c r="L63" s="8">
        <f t="shared" si="46"/>
        <v>-1000</v>
      </c>
      <c r="M63" s="3"/>
      <c r="N63" s="7">
        <f t="shared" si="47"/>
        <v>-1</v>
      </c>
      <c r="O63" s="12"/>
      <c r="P63" s="8"/>
      <c r="Q63" s="3"/>
      <c r="R63" s="7">
        <f t="shared" si="48"/>
        <v>0</v>
      </c>
      <c r="S63" s="3"/>
      <c r="T63" s="8">
        <v>1000</v>
      </c>
      <c r="U63" s="3"/>
      <c r="V63" s="7">
        <f t="shared" si="49"/>
        <v>1.0257357089372352</v>
      </c>
      <c r="W63" s="3"/>
      <c r="X63" s="8">
        <f t="shared" si="50"/>
        <v>-1000</v>
      </c>
      <c r="Y63" s="3"/>
      <c r="Z63" s="7">
        <f t="shared" si="51"/>
        <v>-1</v>
      </c>
    </row>
    <row r="64" spans="1:26" s="24" customFormat="1" hidden="1" outlineLevel="2" x14ac:dyDescent="0.3">
      <c r="A64" s="27"/>
      <c r="B64" s="12" t="str">
        <f>CONCATENATE("          ", "6285", " - ", "JANITORIAL SERVICES")</f>
        <v xml:space="preserve">          6285 - JANITORIAL SERVICES</v>
      </c>
      <c r="C64" s="12"/>
      <c r="D64" s="8">
        <v>3759.39</v>
      </c>
      <c r="E64" s="3"/>
      <c r="F64" s="7">
        <f t="shared" si="44"/>
        <v>0.19080960557416873</v>
      </c>
      <c r="G64" s="3"/>
      <c r="H64" s="8"/>
      <c r="I64" s="3"/>
      <c r="J64" s="7">
        <f t="shared" si="45"/>
        <v>0</v>
      </c>
      <c r="K64" s="3"/>
      <c r="L64" s="8">
        <f t="shared" si="46"/>
        <v>3759.39</v>
      </c>
      <c r="M64" s="3"/>
      <c r="N64" s="7">
        <f t="shared" si="47"/>
        <v>0</v>
      </c>
      <c r="O64" s="12"/>
      <c r="P64" s="8">
        <v>3759.39</v>
      </c>
      <c r="Q64" s="3"/>
      <c r="R64" s="7">
        <f t="shared" si="48"/>
        <v>0.19080960557416873</v>
      </c>
      <c r="S64" s="3"/>
      <c r="T64" s="8"/>
      <c r="U64" s="3"/>
      <c r="V64" s="7">
        <f t="shared" si="49"/>
        <v>0</v>
      </c>
      <c r="W64" s="3"/>
      <c r="X64" s="8">
        <f t="shared" si="50"/>
        <v>3759.39</v>
      </c>
      <c r="Y64" s="3"/>
      <c r="Z64" s="7">
        <f t="shared" si="51"/>
        <v>0</v>
      </c>
    </row>
    <row r="65" spans="1:26" s="24" customFormat="1" hidden="1" outlineLevel="2" x14ac:dyDescent="0.3">
      <c r="A65" s="27"/>
      <c r="B65" s="12" t="str">
        <f>CONCATENATE("          ", "6286", " - ", "LAUNDRY EXPENSE")</f>
        <v xml:space="preserve">          6286 - LAUNDRY EXPENSE</v>
      </c>
      <c r="C65" s="12"/>
      <c r="D65" s="8">
        <v>159.74</v>
      </c>
      <c r="E65" s="3"/>
      <c r="F65" s="7">
        <f t="shared" si="44"/>
        <v>8.1076787442690753E-3</v>
      </c>
      <c r="G65" s="3"/>
      <c r="H65" s="8">
        <v>320.58</v>
      </c>
      <c r="I65" s="3"/>
      <c r="J65" s="7">
        <f t="shared" si="45"/>
        <v>0.32883035357109885</v>
      </c>
      <c r="K65" s="3"/>
      <c r="L65" s="8">
        <f t="shared" si="46"/>
        <v>-160.83999999999997</v>
      </c>
      <c r="M65" s="3"/>
      <c r="N65" s="7">
        <f t="shared" si="47"/>
        <v>-0.50171564040177175</v>
      </c>
      <c r="O65" s="12"/>
      <c r="P65" s="8">
        <v>159.74</v>
      </c>
      <c r="Q65" s="3"/>
      <c r="R65" s="7">
        <f t="shared" si="48"/>
        <v>8.1076787442690753E-3</v>
      </c>
      <c r="S65" s="3"/>
      <c r="T65" s="8">
        <v>320.58</v>
      </c>
      <c r="U65" s="3"/>
      <c r="V65" s="7">
        <f t="shared" si="49"/>
        <v>0.32883035357109885</v>
      </c>
      <c r="W65" s="3"/>
      <c r="X65" s="8">
        <f t="shared" si="50"/>
        <v>-160.83999999999997</v>
      </c>
      <c r="Y65" s="3"/>
      <c r="Z65" s="7">
        <f t="shared" si="51"/>
        <v>-0.50171564040177175</v>
      </c>
    </row>
    <row r="66" spans="1:26" s="29" customFormat="1" outlineLevel="1" collapsed="1" x14ac:dyDescent="0.3">
      <c r="A66" s="28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SUM(OSRRefD22_13x_0)</f>
        <v>130.66999999999999</v>
      </c>
      <c r="E66" s="1"/>
      <c r="F66" s="5">
        <f t="shared" ref="F66:F73" si="52">IF(D$12=0,0,D66/D$12)</f>
        <v>6.6322172374711393E-3</v>
      </c>
      <c r="G66" s="1"/>
      <c r="H66" s="1">
        <f>SUM(OSRRefH22_13x_0)</f>
        <v>9.32</v>
      </c>
      <c r="I66" s="1"/>
      <c r="J66" s="5">
        <f t="shared" ref="J66:J73" si="53">IF(H$12=0,0,H66/H$12)</f>
        <v>9.5598568072950332E-3</v>
      </c>
      <c r="K66" s="1"/>
      <c r="L66" s="1">
        <f t="shared" ref="L66:L73" si="54">+D66-H66</f>
        <v>121.35</v>
      </c>
      <c r="M66" s="1"/>
      <c r="N66" s="5">
        <f t="shared" ref="N66:N73" si="55">IF(H66=0,0,L66/H66)</f>
        <v>13.02038626609442</v>
      </c>
      <c r="O66" s="14"/>
      <c r="P66" s="1">
        <f>SUM(OSRRefP22_13x_0)</f>
        <v>130.66999999999999</v>
      </c>
      <c r="Q66" s="1"/>
      <c r="R66" s="5">
        <f t="shared" ref="R66:R73" si="56">IF(P$12=0,0,P66/P$12)</f>
        <v>6.6322172374711393E-3</v>
      </c>
      <c r="S66" s="1"/>
      <c r="T66" s="1">
        <f>SUM(OSRRefT22_13x_0)</f>
        <v>9.32</v>
      </c>
      <c r="U66" s="1"/>
      <c r="V66" s="5">
        <f t="shared" ref="V66:V73" si="57">IF(T$12=0,0,T66/T$12)</f>
        <v>9.5598568072950332E-3</v>
      </c>
      <c r="W66" s="1"/>
      <c r="X66" s="1">
        <f t="shared" ref="X66:X73" si="58">+P66-T66</f>
        <v>121.35</v>
      </c>
      <c r="Y66" s="1"/>
      <c r="Z66" s="5">
        <f t="shared" ref="Z66:Z73" si="59">IF(T66=0,0,X66/T66)</f>
        <v>13.02038626609442</v>
      </c>
    </row>
    <row r="67" spans="1:26" s="24" customFormat="1" hidden="1" outlineLevel="2" x14ac:dyDescent="0.3">
      <c r="A67" s="27"/>
      <c r="B67" s="12" t="str">
        <f>CONCATENATE("          ", "6275", " - ", "SUBSCRIPTIONS")</f>
        <v xml:space="preserve">          6275 - SUBSCRIPTIONS</v>
      </c>
      <c r="C67" s="12"/>
      <c r="D67" s="8">
        <v>130.66999999999999</v>
      </c>
      <c r="E67" s="3"/>
      <c r="F67" s="7">
        <f t="shared" si="52"/>
        <v>6.6322172374711393E-3</v>
      </c>
      <c r="G67" s="3"/>
      <c r="H67" s="8">
        <v>9.32</v>
      </c>
      <c r="I67" s="3"/>
      <c r="J67" s="7">
        <f t="shared" si="53"/>
        <v>9.5598568072950332E-3</v>
      </c>
      <c r="K67" s="3"/>
      <c r="L67" s="8">
        <f t="shared" si="54"/>
        <v>121.35</v>
      </c>
      <c r="M67" s="3"/>
      <c r="N67" s="7">
        <f t="shared" si="55"/>
        <v>13.02038626609442</v>
      </c>
      <c r="O67" s="12"/>
      <c r="P67" s="8">
        <v>130.66999999999999</v>
      </c>
      <c r="Q67" s="3"/>
      <c r="R67" s="7">
        <f t="shared" si="56"/>
        <v>6.6322172374711393E-3</v>
      </c>
      <c r="S67" s="3"/>
      <c r="T67" s="8">
        <v>9.32</v>
      </c>
      <c r="U67" s="3"/>
      <c r="V67" s="7">
        <f t="shared" si="57"/>
        <v>9.5598568072950332E-3</v>
      </c>
      <c r="W67" s="3"/>
      <c r="X67" s="8">
        <f t="shared" si="58"/>
        <v>121.35</v>
      </c>
      <c r="Y67" s="3"/>
      <c r="Z67" s="7">
        <f t="shared" si="59"/>
        <v>13.02038626609442</v>
      </c>
    </row>
    <row r="68" spans="1:26" s="29" customFormat="1" outlineLevel="1" collapsed="1" x14ac:dyDescent="0.3">
      <c r="A68" s="28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SUM(OSRRefD22_14x_0)</f>
        <v>1730.4100000000003</v>
      </c>
      <c r="E68" s="1"/>
      <c r="F68" s="5">
        <f t="shared" si="52"/>
        <v>8.7827772479470712E-2</v>
      </c>
      <c r="G68" s="1"/>
      <c r="H68" s="1">
        <f>SUM(OSRRefH22_14x_0)</f>
        <v>486.14000000000004</v>
      </c>
      <c r="I68" s="1"/>
      <c r="J68" s="5">
        <f t="shared" si="53"/>
        <v>0.49865115754274758</v>
      </c>
      <c r="K68" s="1"/>
      <c r="L68" s="1">
        <f t="shared" si="54"/>
        <v>1244.2700000000002</v>
      </c>
      <c r="M68" s="1"/>
      <c r="N68" s="5">
        <f t="shared" si="55"/>
        <v>2.5594890360801417</v>
      </c>
      <c r="O68" s="14"/>
      <c r="P68" s="1">
        <f>SUM(OSRRefP22_14x_0)</f>
        <v>1730.4100000000003</v>
      </c>
      <c r="Q68" s="1"/>
      <c r="R68" s="5">
        <f t="shared" si="56"/>
        <v>8.7827772479470712E-2</v>
      </c>
      <c r="S68" s="1"/>
      <c r="T68" s="1">
        <f>SUM(OSRRefT22_14x_0)</f>
        <v>486.14000000000004</v>
      </c>
      <c r="U68" s="1"/>
      <c r="V68" s="5">
        <f t="shared" si="57"/>
        <v>0.49865115754274758</v>
      </c>
      <c r="W68" s="1"/>
      <c r="X68" s="1">
        <f t="shared" si="58"/>
        <v>1244.2700000000002</v>
      </c>
      <c r="Y68" s="1"/>
      <c r="Z68" s="5">
        <f t="shared" si="59"/>
        <v>2.5594890360801417</v>
      </c>
    </row>
    <row r="69" spans="1:26" s="24" customFormat="1" hidden="1" outlineLevel="2" x14ac:dyDescent="0.3">
      <c r="A69" s="27"/>
      <c r="B69" s="12" t="str">
        <f>CONCATENATE("          ", "6235", " - ", "COVID-19 EXPENSES")</f>
        <v xml:space="preserve">          6235 - COVID-19 EXPENSES</v>
      </c>
      <c r="C69" s="12"/>
      <c r="D69" s="8"/>
      <c r="E69" s="3"/>
      <c r="F69" s="7">
        <f t="shared" si="52"/>
        <v>0</v>
      </c>
      <c r="G69" s="3"/>
      <c r="H69" s="8">
        <v>535.82000000000005</v>
      </c>
      <c r="I69" s="3"/>
      <c r="J69" s="7">
        <f t="shared" si="53"/>
        <v>0.54960970756274941</v>
      </c>
      <c r="K69" s="3"/>
      <c r="L69" s="8">
        <f t="shared" si="54"/>
        <v>-535.82000000000005</v>
      </c>
      <c r="M69" s="3"/>
      <c r="N69" s="7">
        <f t="shared" si="55"/>
        <v>-1</v>
      </c>
      <c r="O69" s="12"/>
      <c r="P69" s="8"/>
      <c r="Q69" s="3"/>
      <c r="R69" s="7">
        <f t="shared" si="56"/>
        <v>0</v>
      </c>
      <c r="S69" s="3"/>
      <c r="T69" s="8">
        <v>535.82000000000005</v>
      </c>
      <c r="U69" s="3"/>
      <c r="V69" s="7">
        <f t="shared" si="57"/>
        <v>0.54960970756274941</v>
      </c>
      <c r="W69" s="3"/>
      <c r="X69" s="8">
        <f t="shared" si="58"/>
        <v>-535.82000000000005</v>
      </c>
      <c r="Y69" s="3"/>
      <c r="Z69" s="7">
        <f t="shared" si="59"/>
        <v>-1</v>
      </c>
    </row>
    <row r="70" spans="1:26" s="24" customFormat="1" hidden="1" outlineLevel="2" x14ac:dyDescent="0.3">
      <c r="A70" s="27"/>
      <c r="B70" s="12" t="str">
        <f>CONCATENATE("          ", "6237", " - ", "JANITORIAL SUPPLIES")</f>
        <v xml:space="preserve">          6237 - JANITORIAL SUPPLIES</v>
      </c>
      <c r="C70" s="12"/>
      <c r="D70" s="8">
        <v>1002.17</v>
      </c>
      <c r="E70" s="3"/>
      <c r="F70" s="7">
        <f t="shared" si="52"/>
        <v>5.0865609159535106E-2</v>
      </c>
      <c r="G70" s="3"/>
      <c r="H70" s="8"/>
      <c r="I70" s="3"/>
      <c r="J70" s="7">
        <f t="shared" si="53"/>
        <v>0</v>
      </c>
      <c r="K70" s="3"/>
      <c r="L70" s="8">
        <f t="shared" si="54"/>
        <v>1002.17</v>
      </c>
      <c r="M70" s="3"/>
      <c r="N70" s="7">
        <f t="shared" si="55"/>
        <v>0</v>
      </c>
      <c r="O70" s="12"/>
      <c r="P70" s="8">
        <v>1002.17</v>
      </c>
      <c r="Q70" s="3"/>
      <c r="R70" s="7">
        <f t="shared" si="56"/>
        <v>5.0865609159535106E-2</v>
      </c>
      <c r="S70" s="3"/>
      <c r="T70" s="8"/>
      <c r="U70" s="3"/>
      <c r="V70" s="7">
        <f t="shared" si="57"/>
        <v>0</v>
      </c>
      <c r="W70" s="3"/>
      <c r="X70" s="8">
        <f t="shared" si="58"/>
        <v>1002.17</v>
      </c>
      <c r="Y70" s="3"/>
      <c r="Z70" s="7">
        <f t="shared" si="59"/>
        <v>0</v>
      </c>
    </row>
    <row r="71" spans="1:26" s="24" customFormat="1" hidden="1" outlineLevel="2" x14ac:dyDescent="0.3">
      <c r="A71" s="27"/>
      <c r="B71" s="12" t="str">
        <f>CONCATENATE("          ", "6239", " - ", "KITCHEN SUPPLIES")</f>
        <v xml:space="preserve">          6239 - KITCHEN SUPPLIES</v>
      </c>
      <c r="C71" s="12"/>
      <c r="D71" s="8">
        <v>32.03</v>
      </c>
      <c r="E71" s="3"/>
      <c r="F71" s="7">
        <f t="shared" si="52"/>
        <v>1.6256976973766024E-3</v>
      </c>
      <c r="G71" s="3"/>
      <c r="H71" s="8"/>
      <c r="I71" s="3"/>
      <c r="J71" s="7">
        <f t="shared" si="53"/>
        <v>0</v>
      </c>
      <c r="K71" s="3"/>
      <c r="L71" s="8">
        <f t="shared" si="54"/>
        <v>32.03</v>
      </c>
      <c r="M71" s="3"/>
      <c r="N71" s="7">
        <f t="shared" si="55"/>
        <v>0</v>
      </c>
      <c r="O71" s="12"/>
      <c r="P71" s="8">
        <v>32.03</v>
      </c>
      <c r="Q71" s="3"/>
      <c r="R71" s="7">
        <f t="shared" si="56"/>
        <v>1.6256976973766024E-3</v>
      </c>
      <c r="S71" s="3"/>
      <c r="T71" s="8"/>
      <c r="U71" s="3"/>
      <c r="V71" s="7">
        <f t="shared" si="57"/>
        <v>0</v>
      </c>
      <c r="W71" s="3"/>
      <c r="X71" s="8">
        <f t="shared" si="58"/>
        <v>32.03</v>
      </c>
      <c r="Y71" s="3"/>
      <c r="Z71" s="7">
        <f t="shared" si="59"/>
        <v>0</v>
      </c>
    </row>
    <row r="72" spans="1:26" s="24" customFormat="1" hidden="1" outlineLevel="2" x14ac:dyDescent="0.3">
      <c r="A72" s="27"/>
      <c r="B72" s="12" t="str">
        <f>CONCATENATE("          ", "6241", " - ", "OFFICE EXPENSE")</f>
        <v xml:space="preserve">          6241 - OFFICE EXPENSE</v>
      </c>
      <c r="C72" s="12"/>
      <c r="D72" s="8">
        <v>530.83000000000004</v>
      </c>
      <c r="E72" s="3"/>
      <c r="F72" s="7">
        <f t="shared" si="52"/>
        <v>2.6942526028673801E-2</v>
      </c>
      <c r="G72" s="3"/>
      <c r="H72" s="8">
        <v>-49.68</v>
      </c>
      <c r="I72" s="3"/>
      <c r="J72" s="7">
        <f t="shared" si="53"/>
        <v>-5.0958550020001846E-2</v>
      </c>
      <c r="K72" s="3"/>
      <c r="L72" s="8">
        <f t="shared" si="54"/>
        <v>580.51</v>
      </c>
      <c r="M72" s="3"/>
      <c r="N72" s="7">
        <f t="shared" si="55"/>
        <v>-11.684983896940418</v>
      </c>
      <c r="O72" s="12"/>
      <c r="P72" s="8">
        <v>530.83000000000004</v>
      </c>
      <c r="Q72" s="3"/>
      <c r="R72" s="7">
        <f t="shared" si="56"/>
        <v>2.6942526028673801E-2</v>
      </c>
      <c r="S72" s="3"/>
      <c r="T72" s="8">
        <v>-49.68</v>
      </c>
      <c r="U72" s="3"/>
      <c r="V72" s="7">
        <f t="shared" si="57"/>
        <v>-5.0958550020001846E-2</v>
      </c>
      <c r="W72" s="3"/>
      <c r="X72" s="8">
        <f t="shared" si="58"/>
        <v>580.51</v>
      </c>
      <c r="Y72" s="3"/>
      <c r="Z72" s="7">
        <f t="shared" si="59"/>
        <v>-11.684983896940418</v>
      </c>
    </row>
    <row r="73" spans="1:26" s="24" customFormat="1" hidden="1" outlineLevel="2" x14ac:dyDescent="0.3">
      <c r="A73" s="27"/>
      <c r="B73" s="12" t="str">
        <f>CONCATENATE("          ", "6243", " - ", "PAPER SUPPLIES")</f>
        <v xml:space="preserve">          6243 - PAPER SUPPLIES</v>
      </c>
      <c r="C73" s="12"/>
      <c r="D73" s="8">
        <v>165.38</v>
      </c>
      <c r="E73" s="3"/>
      <c r="F73" s="7">
        <f t="shared" si="52"/>
        <v>8.3939395938851854E-3</v>
      </c>
      <c r="G73" s="3"/>
      <c r="H73" s="8"/>
      <c r="I73" s="3"/>
      <c r="J73" s="7">
        <f t="shared" si="53"/>
        <v>0</v>
      </c>
      <c r="K73" s="3"/>
      <c r="L73" s="8">
        <f t="shared" si="54"/>
        <v>165.38</v>
      </c>
      <c r="M73" s="3"/>
      <c r="N73" s="7">
        <f t="shared" si="55"/>
        <v>0</v>
      </c>
      <c r="O73" s="12"/>
      <c r="P73" s="8">
        <v>165.38</v>
      </c>
      <c r="Q73" s="3"/>
      <c r="R73" s="7">
        <f t="shared" si="56"/>
        <v>8.3939395938851854E-3</v>
      </c>
      <c r="S73" s="3"/>
      <c r="T73" s="8"/>
      <c r="U73" s="3"/>
      <c r="V73" s="7">
        <f t="shared" si="57"/>
        <v>0</v>
      </c>
      <c r="W73" s="3"/>
      <c r="X73" s="8">
        <f t="shared" si="58"/>
        <v>165.38</v>
      </c>
      <c r="Y73" s="3"/>
      <c r="Z73" s="7">
        <f t="shared" si="59"/>
        <v>0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523.54999999999995</v>
      </c>
      <c r="E74" s="1"/>
      <c r="F74" s="5">
        <f t="shared" ref="F74:F79" si="60">IF(D$12=0,0,D74/D$12)</f>
        <v>2.6573026208601937E-2</v>
      </c>
      <c r="G74" s="1"/>
      <c r="H74" s="1">
        <f>SUM(OSRRefH22_15x_0)</f>
        <v>1203.82</v>
      </c>
      <c r="I74" s="1"/>
      <c r="J74" s="5">
        <f t="shared" ref="J74:J79" si="61">IF(H$12=0,0,H74/H$12)</f>
        <v>1.2348011611328225</v>
      </c>
      <c r="K74" s="1"/>
      <c r="L74" s="1">
        <f t="shared" ref="L74:L79" si="62">+D74-H74</f>
        <v>-680.27</v>
      </c>
      <c r="M74" s="1"/>
      <c r="N74" s="5">
        <f t="shared" ref="N74:N79" si="63">IF(H74=0,0,L74/H74)</f>
        <v>-0.56509278795833262</v>
      </c>
      <c r="O74" s="14"/>
      <c r="P74" s="1">
        <f>SUM(OSRRefP22_15x_0)</f>
        <v>523.54999999999995</v>
      </c>
      <c r="Q74" s="1"/>
      <c r="R74" s="5">
        <f t="shared" ref="R74:R79" si="64">IF(P$12=0,0,P74/P$12)</f>
        <v>2.6573026208601937E-2</v>
      </c>
      <c r="S74" s="1"/>
      <c r="T74" s="1">
        <f>SUM(OSRRefT22_15x_0)</f>
        <v>1203.82</v>
      </c>
      <c r="U74" s="1"/>
      <c r="V74" s="5">
        <f t="shared" ref="V74:V79" si="65">IF(T$12=0,0,T74/T$12)</f>
        <v>1.2348011611328225</v>
      </c>
      <c r="W74" s="1"/>
      <c r="X74" s="1">
        <f t="shared" ref="X74:X79" si="66">+P74-T74</f>
        <v>-680.27</v>
      </c>
      <c r="Y74" s="1"/>
      <c r="Z74" s="5">
        <f t="shared" ref="Z74:Z79" si="67">IF(T74=0,0,X74/T74)</f>
        <v>-0.56509278795833262</v>
      </c>
    </row>
    <row r="75" spans="1:26" s="24" customFormat="1" hidden="1" outlineLevel="2" x14ac:dyDescent="0.3">
      <c r="A75" s="27"/>
      <c r="B75" s="12" t="str">
        <f>CONCATENATE("          ", "6309", " - ", "TELEPHONE")</f>
        <v xml:space="preserve">          6309 - TELEPHONE</v>
      </c>
      <c r="C75" s="12"/>
      <c r="D75" s="8">
        <v>523.54999999999995</v>
      </c>
      <c r="E75" s="3"/>
      <c r="F75" s="7">
        <f t="shared" si="60"/>
        <v>2.6573026208601937E-2</v>
      </c>
      <c r="G75" s="3"/>
      <c r="H75" s="8">
        <v>1203.82</v>
      </c>
      <c r="I75" s="3"/>
      <c r="J75" s="7">
        <f t="shared" si="61"/>
        <v>1.2348011611328225</v>
      </c>
      <c r="K75" s="3"/>
      <c r="L75" s="8">
        <f t="shared" si="62"/>
        <v>-680.27</v>
      </c>
      <c r="M75" s="3"/>
      <c r="N75" s="7">
        <f t="shared" si="63"/>
        <v>-0.56509278795833262</v>
      </c>
      <c r="O75" s="12"/>
      <c r="P75" s="8">
        <v>523.54999999999995</v>
      </c>
      <c r="Q75" s="3"/>
      <c r="R75" s="7">
        <f t="shared" si="64"/>
        <v>2.6573026208601937E-2</v>
      </c>
      <c r="S75" s="3"/>
      <c r="T75" s="8">
        <v>1203.82</v>
      </c>
      <c r="U75" s="3"/>
      <c r="V75" s="7">
        <f t="shared" si="65"/>
        <v>1.2348011611328225</v>
      </c>
      <c r="W75" s="3"/>
      <c r="X75" s="8">
        <f t="shared" si="66"/>
        <v>-680.27</v>
      </c>
      <c r="Y75" s="3"/>
      <c r="Z75" s="7">
        <f t="shared" si="67"/>
        <v>-0.56509278795833262</v>
      </c>
    </row>
    <row r="76" spans="1:26" s="29" customFormat="1" outlineLevel="1" collapsed="1" x14ac:dyDescent="0.3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SUM(OSRRefD22_16x_0)</f>
        <v>0</v>
      </c>
      <c r="E76" s="1"/>
      <c r="F76" s="5">
        <f t="shared" si="60"/>
        <v>0</v>
      </c>
      <c r="G76" s="1"/>
      <c r="H76" s="1">
        <f>SUM(OSRRefH22_16x_0)</f>
        <v>179.69</v>
      </c>
      <c r="I76" s="1"/>
      <c r="J76" s="5">
        <f t="shared" si="61"/>
        <v>0.18431444953893181</v>
      </c>
      <c r="K76" s="1"/>
      <c r="L76" s="1">
        <f t="shared" si="62"/>
        <v>-179.69</v>
      </c>
      <c r="M76" s="1"/>
      <c r="N76" s="5">
        <f t="shared" si="63"/>
        <v>-1</v>
      </c>
      <c r="O76" s="14"/>
      <c r="P76" s="1">
        <f>SUM(OSRRefP22_16x_0)</f>
        <v>0</v>
      </c>
      <c r="Q76" s="1"/>
      <c r="R76" s="5">
        <f t="shared" si="64"/>
        <v>0</v>
      </c>
      <c r="S76" s="1"/>
      <c r="T76" s="1">
        <f>SUM(OSRRefT22_16x_0)</f>
        <v>179.69</v>
      </c>
      <c r="U76" s="1"/>
      <c r="V76" s="5">
        <f t="shared" si="65"/>
        <v>0.18431444953893181</v>
      </c>
      <c r="W76" s="1"/>
      <c r="X76" s="1">
        <f t="shared" si="66"/>
        <v>-179.69</v>
      </c>
      <c r="Y76" s="1"/>
      <c r="Z76" s="5">
        <f t="shared" si="67"/>
        <v>-1</v>
      </c>
    </row>
    <row r="77" spans="1:26" s="24" customFormat="1" hidden="1" outlineLevel="2" x14ac:dyDescent="0.3">
      <c r="A77" s="27"/>
      <c r="B77" s="12" t="str">
        <f>CONCATENATE("          ", "6298", " - ", "VEHICLE MILEAGE")</f>
        <v xml:space="preserve">          6298 - VEHICLE MILEAGE</v>
      </c>
      <c r="C77" s="12"/>
      <c r="D77" s="8"/>
      <c r="E77" s="3"/>
      <c r="F77" s="7">
        <f t="shared" si="60"/>
        <v>0</v>
      </c>
      <c r="G77" s="3"/>
      <c r="H77" s="8">
        <v>179.69</v>
      </c>
      <c r="I77" s="3"/>
      <c r="J77" s="7">
        <f t="shared" si="61"/>
        <v>0.18431444953893181</v>
      </c>
      <c r="K77" s="3"/>
      <c r="L77" s="8">
        <f t="shared" si="62"/>
        <v>-179.69</v>
      </c>
      <c r="M77" s="3"/>
      <c r="N77" s="7">
        <f t="shared" si="63"/>
        <v>-1</v>
      </c>
      <c r="O77" s="12"/>
      <c r="P77" s="8"/>
      <c r="Q77" s="3"/>
      <c r="R77" s="7">
        <f t="shared" si="64"/>
        <v>0</v>
      </c>
      <c r="S77" s="3"/>
      <c r="T77" s="8">
        <v>179.69</v>
      </c>
      <c r="U77" s="3"/>
      <c r="V77" s="7">
        <f t="shared" si="65"/>
        <v>0.18431444953893181</v>
      </c>
      <c r="W77" s="3"/>
      <c r="X77" s="8">
        <f t="shared" si="66"/>
        <v>-179.69</v>
      </c>
      <c r="Y77" s="3"/>
      <c r="Z77" s="7">
        <f t="shared" si="67"/>
        <v>-1</v>
      </c>
    </row>
    <row r="78" spans="1:26" s="29" customFormat="1" outlineLevel="1" collapsed="1" x14ac:dyDescent="0.3">
      <c r="A78" s="28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SUM(OSRRefD22_17x_0)</f>
        <v>8150</v>
      </c>
      <c r="E78" s="1"/>
      <c r="F78" s="5">
        <f t="shared" si="60"/>
        <v>0.41365707878923846</v>
      </c>
      <c r="G78" s="1"/>
      <c r="H78" s="1">
        <f>SUM(OSRRefH22_17x_0)</f>
        <v>2300</v>
      </c>
      <c r="I78" s="1"/>
      <c r="J78" s="5">
        <f t="shared" si="61"/>
        <v>2.3591921305556411</v>
      </c>
      <c r="K78" s="1"/>
      <c r="L78" s="1">
        <f t="shared" si="62"/>
        <v>5850</v>
      </c>
      <c r="M78" s="1"/>
      <c r="N78" s="5">
        <f t="shared" si="63"/>
        <v>2.5434782608695654</v>
      </c>
      <c r="O78" s="14"/>
      <c r="P78" s="1">
        <f>SUM(OSRRefP22_17x_0)</f>
        <v>8150</v>
      </c>
      <c r="Q78" s="1"/>
      <c r="R78" s="5">
        <f t="shared" si="64"/>
        <v>0.41365707878923846</v>
      </c>
      <c r="S78" s="1"/>
      <c r="T78" s="1">
        <f>SUM(OSRRefT22_17x_0)</f>
        <v>2300</v>
      </c>
      <c r="U78" s="1"/>
      <c r="V78" s="5">
        <f t="shared" si="65"/>
        <v>2.3591921305556411</v>
      </c>
      <c r="W78" s="1"/>
      <c r="X78" s="1">
        <f t="shared" si="66"/>
        <v>5850</v>
      </c>
      <c r="Y78" s="1"/>
      <c r="Z78" s="5">
        <f t="shared" si="67"/>
        <v>2.5434782608695654</v>
      </c>
    </row>
    <row r="79" spans="1:26" s="24" customFormat="1" hidden="1" outlineLevel="2" x14ac:dyDescent="0.3">
      <c r="A79" s="27"/>
      <c r="B79" s="12" t="str">
        <f>CONCATENATE("          ", "6274", " - ", "UTILITIES")</f>
        <v xml:space="preserve">          6274 - UTILITIES</v>
      </c>
      <c r="C79" s="12"/>
      <c r="D79" s="8">
        <v>8150</v>
      </c>
      <c r="E79" s="3"/>
      <c r="F79" s="7">
        <f t="shared" si="60"/>
        <v>0.41365707878923846</v>
      </c>
      <c r="G79" s="3"/>
      <c r="H79" s="8">
        <v>2300</v>
      </c>
      <c r="I79" s="3"/>
      <c r="J79" s="7">
        <f t="shared" si="61"/>
        <v>2.3591921305556411</v>
      </c>
      <c r="K79" s="3"/>
      <c r="L79" s="8">
        <f t="shared" si="62"/>
        <v>5850</v>
      </c>
      <c r="M79" s="3"/>
      <c r="N79" s="7">
        <f t="shared" si="63"/>
        <v>2.5434782608695654</v>
      </c>
      <c r="O79" s="12"/>
      <c r="P79" s="8">
        <v>8150</v>
      </c>
      <c r="Q79" s="3"/>
      <c r="R79" s="7">
        <f t="shared" si="64"/>
        <v>0.41365707878923846</v>
      </c>
      <c r="S79" s="3"/>
      <c r="T79" s="8">
        <v>2300</v>
      </c>
      <c r="U79" s="3"/>
      <c r="V79" s="7">
        <f t="shared" si="65"/>
        <v>2.3591921305556411</v>
      </c>
      <c r="W79" s="3"/>
      <c r="X79" s="8">
        <f t="shared" si="66"/>
        <v>5850</v>
      </c>
      <c r="Y79" s="3"/>
      <c r="Z79" s="7">
        <f t="shared" si="67"/>
        <v>2.5434782608695654</v>
      </c>
    </row>
    <row r="80" spans="1:26" s="53" customFormat="1" x14ac:dyDescent="0.3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3">
      <c r="A81" s="10"/>
      <c r="B81" s="25" t="s">
        <v>292</v>
      </c>
      <c r="C81" s="10"/>
      <c r="D81" s="4">
        <f>SUM(OSRRefD25x_0)</f>
        <v>2655.42</v>
      </c>
      <c r="E81" s="4"/>
      <c r="F81" s="11">
        <f t="shared" ref="F81:F84" si="68">IF(D$12=0,0,D81/D$12)</f>
        <v>0.1347770895900024</v>
      </c>
      <c r="G81" s="4"/>
      <c r="H81" s="4">
        <f>SUM(OSRRefH25x_0)</f>
        <v>2076.54</v>
      </c>
      <c r="I81" s="4"/>
      <c r="J81" s="11">
        <f t="shared" ref="J81:J84" si="69">IF(H$12=0,0,H81/H$12)</f>
        <v>2.1299812290365265</v>
      </c>
      <c r="K81" s="4"/>
      <c r="L81" s="4">
        <f t="shared" ref="L81:L84" si="70">+D81-H81</f>
        <v>578.88000000000011</v>
      </c>
      <c r="M81" s="4"/>
      <c r="N81" s="11">
        <f t="shared" ref="N81:N84" si="71">IF(H81=0,0,L81/H81)</f>
        <v>0.27877141783929044</v>
      </c>
      <c r="O81" s="10"/>
      <c r="P81" s="4">
        <f>SUM(OSRRefP25x_0)</f>
        <v>2655.42</v>
      </c>
      <c r="Q81" s="4"/>
      <c r="R81" s="11">
        <f t="shared" ref="R81:R84" si="72">IF(P$12=0,0,P81/P$12)</f>
        <v>0.1347770895900024</v>
      </c>
      <c r="S81" s="4"/>
      <c r="T81" s="4">
        <f>SUM(OSRRefT25x_0)</f>
        <v>2076.54</v>
      </c>
      <c r="U81" s="4"/>
      <c r="V81" s="11">
        <f t="shared" ref="V81:V84" si="73">IF(T$12=0,0,T81/T$12)</f>
        <v>2.1299812290365265</v>
      </c>
      <c r="W81" s="4"/>
      <c r="X81" s="4">
        <f t="shared" ref="X81:X84" si="74">+P81-T81</f>
        <v>578.88000000000011</v>
      </c>
      <c r="Y81" s="4"/>
      <c r="Z81" s="11">
        <f t="shared" ref="Z81:Z84" si="75">IF(T81=0,0,X81/T81)</f>
        <v>0.27877141783929044</v>
      </c>
    </row>
    <row r="82" spans="1:26" s="24" customFormat="1" hidden="1" outlineLevel="1" x14ac:dyDescent="0.3">
      <c r="A82" s="50"/>
      <c r="B82" s="12" t="str">
        <f>CONCATENATE("          ", "9150", " - ", "MISC. INCOME")</f>
        <v xml:space="preserve">          9150 - MISC. INCOME</v>
      </c>
      <c r="C82" s="12"/>
      <c r="D82" s="3">
        <f>--1417.3</f>
        <v>1417.3</v>
      </c>
      <c r="E82" s="3"/>
      <c r="F82" s="22">
        <f t="shared" si="68"/>
        <v>7.1935727333495417E-2</v>
      </c>
      <c r="G82" s="3"/>
      <c r="H82" s="3">
        <f>--512.41</f>
        <v>512.41</v>
      </c>
      <c r="I82" s="3"/>
      <c r="J82" s="22">
        <f t="shared" si="69"/>
        <v>0.52559723461652874</v>
      </c>
      <c r="K82" s="3"/>
      <c r="L82" s="3">
        <f t="shared" si="70"/>
        <v>904.89</v>
      </c>
      <c r="M82" s="3"/>
      <c r="N82" s="22">
        <f t="shared" si="71"/>
        <v>1.7659491422884019</v>
      </c>
      <c r="O82" s="12"/>
      <c r="P82" s="3">
        <f>--1417.3</f>
        <v>1417.3</v>
      </c>
      <c r="Q82" s="3"/>
      <c r="R82" s="22">
        <f t="shared" si="72"/>
        <v>7.1935727333495417E-2</v>
      </c>
      <c r="S82" s="3"/>
      <c r="T82" s="3">
        <f>--512.41</f>
        <v>512.41</v>
      </c>
      <c r="U82" s="3"/>
      <c r="V82" s="22">
        <f t="shared" si="73"/>
        <v>0.52559723461652874</v>
      </c>
      <c r="W82" s="3"/>
      <c r="X82" s="3">
        <f t="shared" si="74"/>
        <v>904.89</v>
      </c>
      <c r="Y82" s="3"/>
      <c r="Z82" s="22">
        <f t="shared" si="75"/>
        <v>1.7659491422884019</v>
      </c>
    </row>
    <row r="83" spans="1:26" s="24" customFormat="1" hidden="1" outlineLevel="1" x14ac:dyDescent="0.3">
      <c r="A83" s="50"/>
      <c r="B83" s="12" t="str">
        <f>CONCATENATE("          ", "9160", " - ", "MISC. INCOME")</f>
        <v xml:space="preserve">          9160 - MISC. INCOME</v>
      </c>
      <c r="C83" s="12"/>
      <c r="D83" s="3">
        <f>--1238.12</f>
        <v>1238.1199999999999</v>
      </c>
      <c r="E83" s="3"/>
      <c r="F83" s="22">
        <f t="shared" si="68"/>
        <v>6.284136225650698E-2</v>
      </c>
      <c r="G83" s="3"/>
      <c r="H83" s="3">
        <f>--1363.63</f>
        <v>1363.63</v>
      </c>
      <c r="I83" s="3"/>
      <c r="J83" s="22">
        <f t="shared" si="69"/>
        <v>1.3987239847780821</v>
      </c>
      <c r="K83" s="3"/>
      <c r="L83" s="3">
        <f t="shared" si="70"/>
        <v>-125.51000000000022</v>
      </c>
      <c r="M83" s="3"/>
      <c r="N83" s="22">
        <f t="shared" si="71"/>
        <v>-9.2041096191782384E-2</v>
      </c>
      <c r="O83" s="12"/>
      <c r="P83" s="3">
        <f>--1238.12</f>
        <v>1238.1199999999999</v>
      </c>
      <c r="Q83" s="3"/>
      <c r="R83" s="22">
        <f t="shared" si="72"/>
        <v>6.284136225650698E-2</v>
      </c>
      <c r="S83" s="3"/>
      <c r="T83" s="3">
        <f>--1363.63</f>
        <v>1363.63</v>
      </c>
      <c r="U83" s="3"/>
      <c r="V83" s="22">
        <f t="shared" si="73"/>
        <v>1.3987239847780821</v>
      </c>
      <c r="W83" s="3"/>
      <c r="X83" s="3">
        <f t="shared" si="74"/>
        <v>-125.51000000000022</v>
      </c>
      <c r="Y83" s="3"/>
      <c r="Z83" s="22">
        <f t="shared" si="75"/>
        <v>-9.2041096191782384E-2</v>
      </c>
    </row>
    <row r="84" spans="1:26" s="24" customFormat="1" hidden="1" outlineLevel="1" x14ac:dyDescent="0.3">
      <c r="A84" s="50"/>
      <c r="B84" s="12" t="str">
        <f>CONCATENATE("          ", "9165", " - ", "OTHER INCOME")</f>
        <v xml:space="preserve">          9165 - OTHER INCOME</v>
      </c>
      <c r="C84" s="12"/>
      <c r="D84" s="3">
        <f>0</f>
        <v>0</v>
      </c>
      <c r="E84" s="3"/>
      <c r="F84" s="22">
        <f t="shared" si="68"/>
        <v>0</v>
      </c>
      <c r="G84" s="3"/>
      <c r="H84" s="3">
        <f>--200.5</f>
        <v>200.5</v>
      </c>
      <c r="I84" s="3"/>
      <c r="J84" s="22">
        <f t="shared" si="69"/>
        <v>0.20566000964191566</v>
      </c>
      <c r="K84" s="3"/>
      <c r="L84" s="3">
        <f t="shared" si="70"/>
        <v>-200.5</v>
      </c>
      <c r="M84" s="3"/>
      <c r="N84" s="22">
        <f t="shared" si="71"/>
        <v>-1</v>
      </c>
      <c r="O84" s="12"/>
      <c r="P84" s="3">
        <f>0</f>
        <v>0</v>
      </c>
      <c r="Q84" s="3"/>
      <c r="R84" s="22">
        <f t="shared" si="72"/>
        <v>0</v>
      </c>
      <c r="S84" s="3"/>
      <c r="T84" s="3">
        <f>--200.5</f>
        <v>200.5</v>
      </c>
      <c r="U84" s="3"/>
      <c r="V84" s="22">
        <f t="shared" si="73"/>
        <v>0.20566000964191566</v>
      </c>
      <c r="W84" s="3"/>
      <c r="X84" s="3">
        <f t="shared" si="74"/>
        <v>-200.5</v>
      </c>
      <c r="Y84" s="3"/>
      <c r="Z84" s="22">
        <f t="shared" si="75"/>
        <v>-1</v>
      </c>
    </row>
    <row r="85" spans="1:26" x14ac:dyDescent="0.3">
      <c r="A85" s="9"/>
      <c r="B85" s="10"/>
      <c r="C85" s="10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10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23" customFormat="1" x14ac:dyDescent="0.3">
      <c r="A86" s="10"/>
      <c r="B86" s="26" t="s">
        <v>276</v>
      </c>
      <c r="C86" s="26"/>
      <c r="D86" s="20">
        <f>+D21-D23+D81</f>
        <v>-128552.77999999998</v>
      </c>
      <c r="E86" s="13"/>
      <c r="F86" s="21">
        <f>IF(D$12=0,0,D86/D$12)</f>
        <v>-6.5247567417221637</v>
      </c>
      <c r="G86" s="13"/>
      <c r="H86" s="20">
        <f>+H21-H23+H81</f>
        <v>-124073.70000000004</v>
      </c>
      <c r="I86" s="13"/>
      <c r="J86" s="21">
        <f>IF(H$12=0,0,H86/H$12)</f>
        <v>-127.26682462996588</v>
      </c>
      <c r="K86" s="16"/>
      <c r="L86" s="20">
        <f>+D86-H86</f>
        <v>-4479.0799999999435</v>
      </c>
      <c r="M86" s="16"/>
      <c r="N86" s="21">
        <f>IF(H86=0,0,L86/H86)</f>
        <v>3.6100156600471674E-2</v>
      </c>
      <c r="O86" s="25"/>
      <c r="P86" s="20">
        <f>+P21-P23+P81</f>
        <v>-128552.77999999998</v>
      </c>
      <c r="Q86" s="13"/>
      <c r="R86" s="21">
        <f>IF(P$12=0,0,P86/P$12)</f>
        <v>-6.5247567417221637</v>
      </c>
      <c r="S86" s="13"/>
      <c r="T86" s="20">
        <f>+T21-T23+T81</f>
        <v>-124073.70000000004</v>
      </c>
      <c r="U86" s="13"/>
      <c r="V86" s="21">
        <f>IF(T$12=0,0,T86/T$12)</f>
        <v>-127.26682462996588</v>
      </c>
      <c r="W86" s="16"/>
      <c r="X86" s="20">
        <f>+P86-T86</f>
        <v>-4479.0799999999435</v>
      </c>
      <c r="Y86" s="16"/>
      <c r="Z86" s="21">
        <f>IF(T86=0,0,X86/T86)</f>
        <v>3.6100156600471674E-2</v>
      </c>
    </row>
    <row r="87" spans="1:26" x14ac:dyDescent="0.3">
      <c r="A87" s="9"/>
      <c r="B87" s="10"/>
      <c r="C87" s="9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23" customFormat="1" x14ac:dyDescent="0.3">
      <c r="A88" s="51"/>
      <c r="B88" s="10" t="s">
        <v>127</v>
      </c>
      <c r="C88" s="10"/>
      <c r="D88" s="4">
        <v>9102.39</v>
      </c>
      <c r="E88" s="4"/>
      <c r="F88" s="11">
        <f>IF(D$12=0,0,D88/D$12)</f>
        <v>0.46199608066262282</v>
      </c>
      <c r="G88" s="4"/>
      <c r="H88" s="4">
        <v>468.88</v>
      </c>
      <c r="I88" s="4"/>
      <c r="J88" s="11">
        <f>IF(H$12=0,0,H88/H$12)</f>
        <v>0.48094695920649089</v>
      </c>
      <c r="K88" s="4"/>
      <c r="L88" s="4">
        <f>+D88-H88</f>
        <v>8633.51</v>
      </c>
      <c r="M88" s="4"/>
      <c r="N88" s="11">
        <f>IF(H88=0,0,L88/H88)</f>
        <v>18.413048114656203</v>
      </c>
      <c r="O88" s="10"/>
      <c r="P88" s="4">
        <v>9102.39</v>
      </c>
      <c r="Q88" s="4"/>
      <c r="R88" s="11">
        <f>IF(P$12=0,0,P88/P$12)</f>
        <v>0.46199608066262282</v>
      </c>
      <c r="S88" s="4"/>
      <c r="T88" s="4">
        <v>468.88</v>
      </c>
      <c r="U88" s="4"/>
      <c r="V88" s="11">
        <f>IF(T$12=0,0,T88/T$12)</f>
        <v>0.48094695920649089</v>
      </c>
      <c r="W88" s="4"/>
      <c r="X88" s="4">
        <f>+P88-T88</f>
        <v>8633.51</v>
      </c>
      <c r="Y88" s="4"/>
      <c r="Z88" s="11">
        <f>IF(T88=0,0,X88/T88)</f>
        <v>18.413048114656203</v>
      </c>
    </row>
    <row r="89" spans="1:26" x14ac:dyDescent="0.3">
      <c r="A89" s="9"/>
      <c r="B89" s="10"/>
      <c r="C89" s="10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10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23" customFormat="1" ht="15" thickBot="1" x14ac:dyDescent="0.35">
      <c r="A90" s="10"/>
      <c r="B90" s="26" t="s">
        <v>125</v>
      </c>
      <c r="C90" s="26"/>
      <c r="D90" s="36">
        <f>+D86-D88</f>
        <v>-137655.16999999998</v>
      </c>
      <c r="E90" s="13"/>
      <c r="F90" s="34">
        <f>IF(D$12=0,0,D90/D$12)</f>
        <v>-6.9867528223847861</v>
      </c>
      <c r="G90" s="13"/>
      <c r="H90" s="36">
        <f>+H86-H88</f>
        <v>-124542.58000000005</v>
      </c>
      <c r="I90" s="13"/>
      <c r="J90" s="34">
        <f>IF(H$12=0,0,H90/H$12)</f>
        <v>-127.74777158917239</v>
      </c>
      <c r="K90" s="16"/>
      <c r="L90" s="36">
        <f>D90-H90</f>
        <v>-13112.589999999938</v>
      </c>
      <c r="M90" s="16"/>
      <c r="N90" s="34">
        <f>IF(H90=0,0,L90/H90)</f>
        <v>0.10528599937467116</v>
      </c>
      <c r="O90" s="25"/>
      <c r="P90" s="36">
        <f>+P86-P88</f>
        <v>-137655.16999999998</v>
      </c>
      <c r="Q90" s="13"/>
      <c r="R90" s="34">
        <f>IF(P$12=0,0,P90/P$12)</f>
        <v>-6.9867528223847861</v>
      </c>
      <c r="S90" s="13"/>
      <c r="T90" s="36">
        <f>+T86-T88</f>
        <v>-124542.58000000005</v>
      </c>
      <c r="U90" s="13"/>
      <c r="V90" s="34">
        <f>IF(T$12=0,0,T90/T$12)</f>
        <v>-127.74777158917239</v>
      </c>
      <c r="W90" s="16"/>
      <c r="X90" s="36">
        <f>P90-T90</f>
        <v>-13112.589999999938</v>
      </c>
      <c r="Y90" s="16"/>
      <c r="Z90" s="34">
        <f>IF(T90=0,0,X90/T90)</f>
        <v>0.10528599937467116</v>
      </c>
    </row>
    <row r="91" spans="1:26" ht="15" thickTop="1" x14ac:dyDescent="0.3">
      <c r="A91" s="9"/>
      <c r="B91" s="9"/>
      <c r="C91" s="9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x14ac:dyDescent="0.3">
      <c r="A92" s="9"/>
      <c r="B92" s="9"/>
      <c r="C92" s="9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23" customFormat="1" ht="15" thickBot="1" x14ac:dyDescent="0.35">
      <c r="A93" s="10"/>
      <c r="B93" s="26" t="s">
        <v>293</v>
      </c>
      <c r="C93" s="26"/>
      <c r="D93" s="31">
        <f>SUM(D90:D92)</f>
        <v>-137655.16999999998</v>
      </c>
      <c r="E93" s="13"/>
      <c r="F93" s="33">
        <f>IF(D$12=0,0,D93/D$12)</f>
        <v>-6.9867528223847861</v>
      </c>
      <c r="G93" s="13"/>
      <c r="H93" s="31">
        <f>SUM(H90:H92)</f>
        <v>-124542.58000000005</v>
      </c>
      <c r="I93" s="13"/>
      <c r="J93" s="33">
        <f>IF(H$12=0,0,H93/H$12)</f>
        <v>-127.74777158917239</v>
      </c>
      <c r="K93" s="16"/>
      <c r="L93" s="31">
        <f>+D93-H93</f>
        <v>-13112.589999999938</v>
      </c>
      <c r="M93" s="16"/>
      <c r="N93" s="33">
        <f>IF(H93=0,0,L93/H93)</f>
        <v>0.10528599937467116</v>
      </c>
      <c r="O93" s="25"/>
      <c r="P93" s="31">
        <f>SUM(P90:P92)</f>
        <v>-137655.16999999998</v>
      </c>
      <c r="Q93" s="13"/>
      <c r="R93" s="33">
        <f>IF(P$12=0,0,P93/P$12)</f>
        <v>-6.9867528223847861</v>
      </c>
      <c r="S93" s="13"/>
      <c r="T93" s="31">
        <f>SUM(T90:T92)</f>
        <v>-124542.58000000005</v>
      </c>
      <c r="U93" s="13"/>
      <c r="V93" s="33">
        <f>IF(T$12=0,0,T93/T$12)</f>
        <v>-127.74777158917239</v>
      </c>
      <c r="W93" s="16"/>
      <c r="X93" s="31">
        <f>+P93-T93</f>
        <v>-13112.589999999938</v>
      </c>
      <c r="Y93" s="16"/>
      <c r="Z93" s="33">
        <f>IF(T93=0,0,X93/T93)</f>
        <v>0.10528599937467116</v>
      </c>
    </row>
    <row r="94" spans="1:26" ht="15" thickTop="1" x14ac:dyDescent="0.3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3">
      <c r="A95" s="9"/>
      <c r="B95" s="59">
        <v>44462.6669287037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3">
      <c r="A96" s="9"/>
      <c r="B96" s="57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3">
      <c r="A97" s="9"/>
      <c r="B97" s="61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3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","405", " - ", "Caffeine Lab")</f>
        <v>Department 405 - Caffeine Lab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13284.030000000002</v>
      </c>
      <c r="E18" s="19"/>
      <c r="F18" s="35">
        <f t="shared" ref="F18:F27" si="0">IF(D$12=0,0,D18/D$12)</f>
        <v>0</v>
      </c>
      <c r="G18" s="19"/>
      <c r="H18" s="19">
        <f>SUM(OSRRefH22x_0)</f>
        <v>6467.6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6816.4300000000021</v>
      </c>
      <c r="M18" s="4"/>
      <c r="N18" s="35">
        <f t="shared" ref="N18:N27" si="3">IF(H18=0,0,L18/H18)</f>
        <v>1.053934999072299</v>
      </c>
      <c r="O18" s="10"/>
      <c r="P18" s="19">
        <f>SUM(OSRRefP22x_0)</f>
        <v>13284.030000000002</v>
      </c>
      <c r="Q18" s="19"/>
      <c r="R18" s="35">
        <f t="shared" ref="R18:R27" si="4">IF(P$12=0,0,P18/P$12)</f>
        <v>0</v>
      </c>
      <c r="S18" s="19"/>
      <c r="T18" s="19">
        <f>SUM(OSRRefT22x_0)</f>
        <v>6467.6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6816.4300000000021</v>
      </c>
      <c r="Y18" s="4"/>
      <c r="Z18" s="35">
        <f t="shared" ref="Z18:Z27" si="7">IF(T18=0,0,X18/T18)</f>
        <v>1.053934999072299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1243.8900000000001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1243.8900000000001</v>
      </c>
      <c r="M19" s="1"/>
      <c r="N19" s="5">
        <f t="shared" si="3"/>
        <v>0</v>
      </c>
      <c r="O19" s="14"/>
      <c r="P19" s="1">
        <f>SUM(OSRRefP22_0x_0)</f>
        <v>1243.8900000000001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1243.8900000000001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247.14</v>
      </c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247.14</v>
      </c>
      <c r="M20" s="3"/>
      <c r="N20" s="7">
        <f t="shared" si="3"/>
        <v>0</v>
      </c>
      <c r="O20" s="12"/>
      <c r="P20" s="8">
        <v>247.14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247.14</v>
      </c>
      <c r="Y20" s="3"/>
      <c r="Z20" s="7">
        <f t="shared" si="7"/>
        <v>0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116.31</v>
      </c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116.31</v>
      </c>
      <c r="M21" s="3"/>
      <c r="N21" s="7">
        <f t="shared" si="3"/>
        <v>0</v>
      </c>
      <c r="O21" s="12"/>
      <c r="P21" s="8">
        <v>116.31</v>
      </c>
      <c r="Q21" s="3"/>
      <c r="R21" s="7">
        <f t="shared" si="4"/>
        <v>0</v>
      </c>
      <c r="S21" s="3"/>
      <c r="T21" s="8"/>
      <c r="U21" s="3"/>
      <c r="V21" s="7">
        <f t="shared" si="5"/>
        <v>0</v>
      </c>
      <c r="W21" s="3"/>
      <c r="X21" s="8">
        <f t="shared" si="6"/>
        <v>116.31</v>
      </c>
      <c r="Y21" s="3"/>
      <c r="Z21" s="7">
        <f t="shared" si="7"/>
        <v>0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42.95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42.95</v>
      </c>
      <c r="M22" s="3"/>
      <c r="N22" s="7">
        <f t="shared" si="3"/>
        <v>0</v>
      </c>
      <c r="O22" s="12"/>
      <c r="P22" s="8">
        <v>42.95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42.95</v>
      </c>
      <c r="Y22" s="3"/>
      <c r="Z22" s="7">
        <f t="shared" si="7"/>
        <v>0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8.4</v>
      </c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8.4</v>
      </c>
      <c r="M23" s="3"/>
      <c r="N23" s="7">
        <f t="shared" si="3"/>
        <v>0</v>
      </c>
      <c r="O23" s="12"/>
      <c r="P23" s="8">
        <v>8.4</v>
      </c>
      <c r="Q23" s="3"/>
      <c r="R23" s="7">
        <f t="shared" si="4"/>
        <v>0</v>
      </c>
      <c r="S23" s="3"/>
      <c r="T23" s="8"/>
      <c r="U23" s="3"/>
      <c r="V23" s="7">
        <f t="shared" si="5"/>
        <v>0</v>
      </c>
      <c r="W23" s="3"/>
      <c r="X23" s="8">
        <f t="shared" si="6"/>
        <v>8.4</v>
      </c>
      <c r="Y23" s="3"/>
      <c r="Z23" s="7">
        <f t="shared" si="7"/>
        <v>0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245.21</v>
      </c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245.21</v>
      </c>
      <c r="M24" s="3"/>
      <c r="N24" s="7">
        <f t="shared" si="3"/>
        <v>0</v>
      </c>
      <c r="O24" s="12"/>
      <c r="P24" s="8">
        <v>245.21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245.21</v>
      </c>
      <c r="Y24" s="3"/>
      <c r="Z24" s="7">
        <f t="shared" si="7"/>
        <v>0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207.3</v>
      </c>
      <c r="E25" s="3"/>
      <c r="F25" s="7">
        <f t="shared" si="0"/>
        <v>0</v>
      </c>
      <c r="G25" s="3"/>
      <c r="H25" s="8"/>
      <c r="I25" s="3"/>
      <c r="J25" s="7">
        <f t="shared" si="1"/>
        <v>0</v>
      </c>
      <c r="K25" s="3"/>
      <c r="L25" s="8">
        <f t="shared" si="2"/>
        <v>207.3</v>
      </c>
      <c r="M25" s="3"/>
      <c r="N25" s="7">
        <f t="shared" si="3"/>
        <v>0</v>
      </c>
      <c r="O25" s="12"/>
      <c r="P25" s="8">
        <v>207.3</v>
      </c>
      <c r="Q25" s="3"/>
      <c r="R25" s="7">
        <f t="shared" si="4"/>
        <v>0</v>
      </c>
      <c r="S25" s="3"/>
      <c r="T25" s="8"/>
      <c r="U25" s="3"/>
      <c r="V25" s="7">
        <f t="shared" si="5"/>
        <v>0</v>
      </c>
      <c r="W25" s="3"/>
      <c r="X25" s="8">
        <f t="shared" si="6"/>
        <v>207.3</v>
      </c>
      <c r="Y25" s="3"/>
      <c r="Z25" s="7">
        <f t="shared" si="7"/>
        <v>0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248.36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248.36</v>
      </c>
      <c r="M26" s="3"/>
      <c r="N26" s="7">
        <f t="shared" si="3"/>
        <v>0</v>
      </c>
      <c r="O26" s="12"/>
      <c r="P26" s="8">
        <v>248.36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248.36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128.22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128.22</v>
      </c>
      <c r="M27" s="3"/>
      <c r="N27" s="7">
        <f t="shared" si="3"/>
        <v>0</v>
      </c>
      <c r="O27" s="12"/>
      <c r="P27" s="8">
        <v>128.22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128.22</v>
      </c>
      <c r="Y27" s="3"/>
      <c r="Z27" s="7">
        <f t="shared" si="7"/>
        <v>0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4990.76</v>
      </c>
      <c r="E28" s="1"/>
      <c r="F28" s="5">
        <f t="shared" ref="F28:F30" si="8">IF(D$12=0,0,D28/D$12)</f>
        <v>0</v>
      </c>
      <c r="G28" s="1"/>
      <c r="H28" s="1">
        <f>SUM(OSRRefH22_1x_0)</f>
        <v>0</v>
      </c>
      <c r="I28" s="1"/>
      <c r="J28" s="5">
        <f t="shared" ref="J28:J30" si="9">IF(H$12=0,0,H28/H$12)</f>
        <v>0</v>
      </c>
      <c r="K28" s="1"/>
      <c r="L28" s="1">
        <f t="shared" ref="L28:L30" si="10">+D28-H28</f>
        <v>4990.76</v>
      </c>
      <c r="M28" s="1"/>
      <c r="N28" s="5">
        <f t="shared" ref="N28:N30" si="11">IF(H28=0,0,L28/H28)</f>
        <v>0</v>
      </c>
      <c r="O28" s="14"/>
      <c r="P28" s="1">
        <f>SUM(OSRRefP22_1x_0)</f>
        <v>4990.76</v>
      </c>
      <c r="Q28" s="1"/>
      <c r="R28" s="5">
        <f t="shared" ref="R28:R30" si="12">IF(P$12=0,0,P28/P$12)</f>
        <v>0</v>
      </c>
      <c r="S28" s="1"/>
      <c r="T28" s="1">
        <f>SUM(OSRRefT22_1x_0)</f>
        <v>0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4990.76</v>
      </c>
      <c r="Y28" s="1"/>
      <c r="Z28" s="5">
        <f t="shared" ref="Z28:Z30" si="15">IF(T28=0,0,X28/T28)</f>
        <v>0</v>
      </c>
    </row>
    <row r="29" spans="1:26" s="24" customFormat="1" hidden="1" outlineLevel="2" x14ac:dyDescent="0.3">
      <c r="A29" s="27"/>
      <c r="B29" s="12" t="str">
        <f>CONCATENATE("          ", "6002", " - ", "STAFF SALARIES")</f>
        <v xml:space="preserve">          6002 - STAFF SALARIES</v>
      </c>
      <c r="C29" s="12"/>
      <c r="D29" s="8">
        <v>4576.76</v>
      </c>
      <c r="E29" s="3"/>
      <c r="F29" s="7">
        <f t="shared" si="8"/>
        <v>0</v>
      </c>
      <c r="G29" s="3"/>
      <c r="H29" s="8"/>
      <c r="I29" s="3"/>
      <c r="J29" s="7">
        <f t="shared" si="9"/>
        <v>0</v>
      </c>
      <c r="K29" s="3"/>
      <c r="L29" s="8">
        <f t="shared" si="10"/>
        <v>4576.76</v>
      </c>
      <c r="M29" s="3"/>
      <c r="N29" s="7">
        <f t="shared" si="11"/>
        <v>0</v>
      </c>
      <c r="O29" s="12"/>
      <c r="P29" s="8">
        <v>4576.76</v>
      </c>
      <c r="Q29" s="3"/>
      <c r="R29" s="7">
        <f t="shared" si="12"/>
        <v>0</v>
      </c>
      <c r="S29" s="3"/>
      <c r="T29" s="8"/>
      <c r="U29" s="3"/>
      <c r="V29" s="7">
        <f t="shared" si="13"/>
        <v>0</v>
      </c>
      <c r="W29" s="3"/>
      <c r="X29" s="8">
        <f t="shared" si="14"/>
        <v>4576.76</v>
      </c>
      <c r="Y29" s="3"/>
      <c r="Z29" s="7">
        <f t="shared" si="15"/>
        <v>0</v>
      </c>
    </row>
    <row r="30" spans="1:26" s="24" customFormat="1" hidden="1" outlineLevel="2" x14ac:dyDescent="0.3">
      <c r="A30" s="27"/>
      <c r="B30" s="12" t="str">
        <f>CONCATENATE("          ", "6007", " - ", "STUDENT HOURLY")</f>
        <v xml:space="preserve">          6007 - STUDENT HOURLY</v>
      </c>
      <c r="C30" s="12"/>
      <c r="D30" s="8">
        <v>414</v>
      </c>
      <c r="E30" s="3"/>
      <c r="F30" s="7">
        <f t="shared" si="8"/>
        <v>0</v>
      </c>
      <c r="G30" s="3"/>
      <c r="H30" s="8"/>
      <c r="I30" s="3"/>
      <c r="J30" s="7">
        <f t="shared" si="9"/>
        <v>0</v>
      </c>
      <c r="K30" s="3"/>
      <c r="L30" s="8">
        <f t="shared" si="10"/>
        <v>414</v>
      </c>
      <c r="M30" s="3"/>
      <c r="N30" s="7">
        <f t="shared" si="11"/>
        <v>0</v>
      </c>
      <c r="O30" s="12"/>
      <c r="P30" s="8">
        <v>414</v>
      </c>
      <c r="Q30" s="3"/>
      <c r="R30" s="7">
        <f t="shared" si="12"/>
        <v>0</v>
      </c>
      <c r="S30" s="3"/>
      <c r="T30" s="8"/>
      <c r="U30" s="3"/>
      <c r="V30" s="7">
        <f t="shared" si="13"/>
        <v>0</v>
      </c>
      <c r="W30" s="3"/>
      <c r="X30" s="8">
        <f t="shared" si="14"/>
        <v>414</v>
      </c>
      <c r="Y30" s="3"/>
      <c r="Z30" s="7">
        <f t="shared" si="15"/>
        <v>0</v>
      </c>
    </row>
    <row r="31" spans="1:26" s="29" customFormat="1" outlineLevel="1" collapsed="1" x14ac:dyDescent="0.3">
      <c r="A31" s="28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48.14</v>
      </c>
      <c r="E31" s="1"/>
      <c r="F31" s="5">
        <f t="shared" ref="F31:F35" si="16">IF(D$12=0,0,D31/D$12)</f>
        <v>0</v>
      </c>
      <c r="G31" s="1"/>
      <c r="H31" s="1">
        <f>SUM(OSRRefH22_2x_0)</f>
        <v>0</v>
      </c>
      <c r="I31" s="1"/>
      <c r="J31" s="5">
        <f t="shared" ref="J31:J35" si="17">IF(H$12=0,0,H31/H$12)</f>
        <v>0</v>
      </c>
      <c r="K31" s="1"/>
      <c r="L31" s="1">
        <f t="shared" ref="L31:L35" si="18">+D31-H31</f>
        <v>48.14</v>
      </c>
      <c r="M31" s="1"/>
      <c r="N31" s="5">
        <f t="shared" ref="N31:N35" si="19">IF(H31=0,0,L31/H31)</f>
        <v>0</v>
      </c>
      <c r="O31" s="14"/>
      <c r="P31" s="1">
        <f>SUM(OSRRefP22_2x_0)</f>
        <v>48.14</v>
      </c>
      <c r="Q31" s="1"/>
      <c r="R31" s="5">
        <f t="shared" ref="R31:R35" si="20">IF(P$12=0,0,P31/P$12)</f>
        <v>0</v>
      </c>
      <c r="S31" s="1"/>
      <c r="T31" s="1">
        <f>SUM(OSRRefT22_2x_0)</f>
        <v>0</v>
      </c>
      <c r="U31" s="1"/>
      <c r="V31" s="5">
        <f t="shared" ref="V31:V35" si="21">IF(T$12=0,0,T31/T$12)</f>
        <v>0</v>
      </c>
      <c r="W31" s="1"/>
      <c r="X31" s="1">
        <f t="shared" ref="X31:X35" si="22">+P31-T31</f>
        <v>48.14</v>
      </c>
      <c r="Y31" s="1"/>
      <c r="Z31" s="5">
        <f t="shared" ref="Z31:Z35" si="23">IF(T31=0,0,X31/T31)</f>
        <v>0</v>
      </c>
    </row>
    <row r="32" spans="1:26" s="24" customFormat="1" hidden="1" outlineLevel="2" x14ac:dyDescent="0.3">
      <c r="A32" s="27"/>
      <c r="B32" s="12" t="str">
        <f>CONCATENATE("          ", "6362", " - ", "ADVERTISING EXPENSE")</f>
        <v xml:space="preserve">          6362 - ADVERTISING EXPENSE</v>
      </c>
      <c r="C32" s="12"/>
      <c r="D32" s="8">
        <v>48.14</v>
      </c>
      <c r="E32" s="3"/>
      <c r="F32" s="7">
        <f t="shared" si="16"/>
        <v>0</v>
      </c>
      <c r="G32" s="3"/>
      <c r="H32" s="8"/>
      <c r="I32" s="3"/>
      <c r="J32" s="7">
        <f t="shared" si="17"/>
        <v>0</v>
      </c>
      <c r="K32" s="3"/>
      <c r="L32" s="8">
        <f t="shared" si="18"/>
        <v>48.14</v>
      </c>
      <c r="M32" s="3"/>
      <c r="N32" s="7">
        <f t="shared" si="19"/>
        <v>0</v>
      </c>
      <c r="O32" s="12"/>
      <c r="P32" s="8">
        <v>48.14</v>
      </c>
      <c r="Q32" s="3"/>
      <c r="R32" s="7">
        <f t="shared" si="20"/>
        <v>0</v>
      </c>
      <c r="S32" s="3"/>
      <c r="T32" s="8"/>
      <c r="U32" s="3"/>
      <c r="V32" s="7">
        <f t="shared" si="21"/>
        <v>0</v>
      </c>
      <c r="W32" s="3"/>
      <c r="X32" s="8">
        <f t="shared" si="22"/>
        <v>48.14</v>
      </c>
      <c r="Y32" s="3"/>
      <c r="Z32" s="7">
        <f t="shared" si="23"/>
        <v>0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4626.5</v>
      </c>
      <c r="E33" s="1"/>
      <c r="F33" s="5">
        <f t="shared" si="16"/>
        <v>0</v>
      </c>
      <c r="G33" s="1"/>
      <c r="H33" s="1">
        <f>SUM(OSRRefH22_3x_0)</f>
        <v>5330.05</v>
      </c>
      <c r="I33" s="1"/>
      <c r="J33" s="5">
        <f t="shared" si="17"/>
        <v>0</v>
      </c>
      <c r="K33" s="1"/>
      <c r="L33" s="1">
        <f t="shared" si="18"/>
        <v>-703.55000000000018</v>
      </c>
      <c r="M33" s="1"/>
      <c r="N33" s="5">
        <f t="shared" si="19"/>
        <v>-0.13199688558268688</v>
      </c>
      <c r="O33" s="14"/>
      <c r="P33" s="1">
        <f>SUM(OSRRefP22_3x_0)</f>
        <v>4626.5</v>
      </c>
      <c r="Q33" s="1"/>
      <c r="R33" s="5">
        <f t="shared" si="20"/>
        <v>0</v>
      </c>
      <c r="S33" s="1"/>
      <c r="T33" s="1">
        <f>SUM(OSRRefT22_3x_0)</f>
        <v>5330.05</v>
      </c>
      <c r="U33" s="1"/>
      <c r="V33" s="5">
        <f t="shared" si="21"/>
        <v>0</v>
      </c>
      <c r="W33" s="1"/>
      <c r="X33" s="1">
        <f t="shared" si="22"/>
        <v>-703.55000000000018</v>
      </c>
      <c r="Y33" s="1"/>
      <c r="Z33" s="5">
        <f t="shared" si="23"/>
        <v>-0.13199688558268688</v>
      </c>
    </row>
    <row r="34" spans="1:26" s="24" customFormat="1" hidden="1" outlineLevel="2" x14ac:dyDescent="0.3">
      <c r="A34" s="27"/>
      <c r="B34" s="12" t="str">
        <f>CONCATENATE("          ", "6321", " - ", "BUILDING DEPRECIATION")</f>
        <v xml:space="preserve">          6321 - BUILDING DEPRECIATION</v>
      </c>
      <c r="C34" s="12"/>
      <c r="D34" s="8">
        <v>4626.5</v>
      </c>
      <c r="E34" s="3"/>
      <c r="F34" s="7">
        <f t="shared" si="16"/>
        <v>0</v>
      </c>
      <c r="G34" s="3"/>
      <c r="H34" s="8">
        <v>4626.5</v>
      </c>
      <c r="I34" s="3"/>
      <c r="J34" s="7">
        <f t="shared" si="17"/>
        <v>0</v>
      </c>
      <c r="K34" s="3"/>
      <c r="L34" s="8">
        <f t="shared" si="18"/>
        <v>0</v>
      </c>
      <c r="M34" s="3"/>
      <c r="N34" s="7">
        <f t="shared" si="19"/>
        <v>0</v>
      </c>
      <c r="O34" s="12"/>
      <c r="P34" s="8">
        <v>4626.5</v>
      </c>
      <c r="Q34" s="3"/>
      <c r="R34" s="7">
        <f t="shared" si="20"/>
        <v>0</v>
      </c>
      <c r="S34" s="3"/>
      <c r="T34" s="8">
        <v>4626.5</v>
      </c>
      <c r="U34" s="3"/>
      <c r="V34" s="7">
        <f t="shared" si="21"/>
        <v>0</v>
      </c>
      <c r="W34" s="3"/>
      <c r="X34" s="8">
        <f t="shared" si="22"/>
        <v>0</v>
      </c>
      <c r="Y34" s="3"/>
      <c r="Z34" s="7">
        <f t="shared" si="23"/>
        <v>0</v>
      </c>
    </row>
    <row r="35" spans="1:26" s="24" customFormat="1" hidden="1" outlineLevel="2" x14ac:dyDescent="0.3">
      <c r="A35" s="27"/>
      <c r="B35" s="12" t="str">
        <f>CONCATENATE("          ", "6322", " - ", "EQUIPMENT DEPRECIATION EXPENSE")</f>
        <v xml:space="preserve">          6322 - EQUIPMENT DEPRECIATION EXPENSE</v>
      </c>
      <c r="C35" s="12"/>
      <c r="D35" s="8"/>
      <c r="E35" s="3"/>
      <c r="F35" s="7">
        <f t="shared" si="16"/>
        <v>0</v>
      </c>
      <c r="G35" s="3"/>
      <c r="H35" s="8">
        <v>703.55</v>
      </c>
      <c r="I35" s="3"/>
      <c r="J35" s="7">
        <f t="shared" si="17"/>
        <v>0</v>
      </c>
      <c r="K35" s="3"/>
      <c r="L35" s="8">
        <f t="shared" si="18"/>
        <v>-703.55</v>
      </c>
      <c r="M35" s="3"/>
      <c r="N35" s="7">
        <f t="shared" si="19"/>
        <v>-1</v>
      </c>
      <c r="O35" s="12"/>
      <c r="P35" s="8"/>
      <c r="Q35" s="3"/>
      <c r="R35" s="7">
        <f t="shared" si="20"/>
        <v>0</v>
      </c>
      <c r="S35" s="3"/>
      <c r="T35" s="8">
        <v>703.55</v>
      </c>
      <c r="U35" s="3"/>
      <c r="V35" s="7">
        <f t="shared" si="21"/>
        <v>0</v>
      </c>
      <c r="W35" s="3"/>
      <c r="X35" s="8">
        <f t="shared" si="22"/>
        <v>-703.55</v>
      </c>
      <c r="Y35" s="3"/>
      <c r="Z35" s="7">
        <f t="shared" si="23"/>
        <v>-1</v>
      </c>
    </row>
    <row r="36" spans="1:26" s="29" customFormat="1" outlineLevel="1" collapsed="1" x14ac:dyDescent="0.3">
      <c r="A36" s="28"/>
      <c r="B36" s="14" t="str">
        <f>CONCATENATE("     ","General                                           ")</f>
        <v xml:space="preserve">     General                                           </v>
      </c>
      <c r="C36" s="14"/>
      <c r="D36" s="1">
        <f>SUM(OSRRefD22_4x_0)</f>
        <v>0</v>
      </c>
      <c r="E36" s="1"/>
      <c r="F36" s="5">
        <f t="shared" ref="F36:F47" si="24">IF(D$12=0,0,D36/D$12)</f>
        <v>0</v>
      </c>
      <c r="G36" s="1"/>
      <c r="H36" s="1">
        <f>SUM(OSRRefH22_4x_0)</f>
        <v>1114.55</v>
      </c>
      <c r="I36" s="1"/>
      <c r="J36" s="5">
        <f t="shared" ref="J36:J47" si="25">IF(H$12=0,0,H36/H$12)</f>
        <v>0</v>
      </c>
      <c r="K36" s="1"/>
      <c r="L36" s="1">
        <f t="shared" ref="L36:L47" si="26">+D36-H36</f>
        <v>-1114.55</v>
      </c>
      <c r="M36" s="1"/>
      <c r="N36" s="5">
        <f t="shared" ref="N36:N47" si="27">IF(H36=0,0,L36/H36)</f>
        <v>-1</v>
      </c>
      <c r="O36" s="14"/>
      <c r="P36" s="1">
        <f>SUM(OSRRefP22_4x_0)</f>
        <v>0</v>
      </c>
      <c r="Q36" s="1"/>
      <c r="R36" s="5">
        <f t="shared" ref="R36:R47" si="28">IF(P$12=0,0,P36/P$12)</f>
        <v>0</v>
      </c>
      <c r="S36" s="1"/>
      <c r="T36" s="1">
        <f>SUM(OSRRefT22_4x_0)</f>
        <v>1114.55</v>
      </c>
      <c r="U36" s="1"/>
      <c r="V36" s="5">
        <f t="shared" ref="V36:V47" si="29">IF(T$12=0,0,T36/T$12)</f>
        <v>0</v>
      </c>
      <c r="W36" s="1"/>
      <c r="X36" s="1">
        <f t="shared" ref="X36:X47" si="30">+P36-T36</f>
        <v>-1114.55</v>
      </c>
      <c r="Y36" s="1"/>
      <c r="Z36" s="5">
        <f t="shared" ref="Z36:Z47" si="31">IF(T36=0,0,X36/T36)</f>
        <v>-1</v>
      </c>
    </row>
    <row r="37" spans="1:26" s="24" customFormat="1" hidden="1" outlineLevel="2" x14ac:dyDescent="0.3">
      <c r="A37" s="27"/>
      <c r="B37" s="12" t="str">
        <f>CONCATENATE("          ", "6279", " - ", "GENERAL EXPENSE")</f>
        <v xml:space="preserve">          6279 - GENERAL EXPENSE</v>
      </c>
      <c r="C37" s="12"/>
      <c r="D37" s="8"/>
      <c r="E37" s="3"/>
      <c r="F37" s="7">
        <f t="shared" si="24"/>
        <v>0</v>
      </c>
      <c r="G37" s="3"/>
      <c r="H37" s="8">
        <v>1114.55</v>
      </c>
      <c r="I37" s="3"/>
      <c r="J37" s="7">
        <f t="shared" si="25"/>
        <v>0</v>
      </c>
      <c r="K37" s="3"/>
      <c r="L37" s="8">
        <f t="shared" si="26"/>
        <v>-1114.55</v>
      </c>
      <c r="M37" s="3"/>
      <c r="N37" s="7">
        <f t="shared" si="27"/>
        <v>-1</v>
      </c>
      <c r="O37" s="12"/>
      <c r="P37" s="8"/>
      <c r="Q37" s="3"/>
      <c r="R37" s="7">
        <f t="shared" si="28"/>
        <v>0</v>
      </c>
      <c r="S37" s="3"/>
      <c r="T37" s="8">
        <v>1114.55</v>
      </c>
      <c r="U37" s="3"/>
      <c r="V37" s="7">
        <f t="shared" si="29"/>
        <v>0</v>
      </c>
      <c r="W37" s="3"/>
      <c r="X37" s="8">
        <f t="shared" si="30"/>
        <v>-1114.55</v>
      </c>
      <c r="Y37" s="3"/>
      <c r="Z37" s="7">
        <f t="shared" si="31"/>
        <v>-1</v>
      </c>
    </row>
    <row r="38" spans="1:26" s="29" customFormat="1" outlineLevel="1" collapsed="1" x14ac:dyDescent="0.3">
      <c r="A38" s="28"/>
      <c r="B38" s="14" t="str">
        <f>CONCATENATE("     ","Rent                                              ")</f>
        <v xml:space="preserve">     Rent                                              </v>
      </c>
      <c r="C38" s="14"/>
      <c r="D38" s="1">
        <f>SUM(OSRRefD22_5x_0)</f>
        <v>1850</v>
      </c>
      <c r="E38" s="1"/>
      <c r="F38" s="5">
        <f t="shared" si="24"/>
        <v>0</v>
      </c>
      <c r="G38" s="1"/>
      <c r="H38" s="1">
        <f>SUM(OSRRefH22_5x_0)</f>
        <v>0</v>
      </c>
      <c r="I38" s="1"/>
      <c r="J38" s="5">
        <f t="shared" si="25"/>
        <v>0</v>
      </c>
      <c r="K38" s="1"/>
      <c r="L38" s="1">
        <f t="shared" si="26"/>
        <v>1850</v>
      </c>
      <c r="M38" s="1"/>
      <c r="N38" s="5">
        <f t="shared" si="27"/>
        <v>0</v>
      </c>
      <c r="O38" s="14"/>
      <c r="P38" s="1">
        <f>SUM(OSRRefP22_5x_0)</f>
        <v>1850</v>
      </c>
      <c r="Q38" s="1"/>
      <c r="R38" s="5">
        <f t="shared" si="28"/>
        <v>0</v>
      </c>
      <c r="S38" s="1"/>
      <c r="T38" s="1">
        <f>SUM(OSRRefT22_5x_0)</f>
        <v>0</v>
      </c>
      <c r="U38" s="1"/>
      <c r="V38" s="5">
        <f t="shared" si="29"/>
        <v>0</v>
      </c>
      <c r="W38" s="1"/>
      <c r="X38" s="1">
        <f t="shared" si="30"/>
        <v>1850</v>
      </c>
      <c r="Y38" s="1"/>
      <c r="Z38" s="5">
        <f t="shared" si="31"/>
        <v>0</v>
      </c>
    </row>
    <row r="39" spans="1:26" s="24" customFormat="1" hidden="1" outlineLevel="2" x14ac:dyDescent="0.3">
      <c r="A39" s="27"/>
      <c r="B39" s="12" t="str">
        <f>CONCATENATE("          ", "6273", " - ", "RENT")</f>
        <v xml:space="preserve">          6273 - RENT</v>
      </c>
      <c r="C39" s="12"/>
      <c r="D39" s="8">
        <v>1850</v>
      </c>
      <c r="E39" s="3"/>
      <c r="F39" s="7">
        <f t="shared" si="24"/>
        <v>0</v>
      </c>
      <c r="G39" s="3"/>
      <c r="H39" s="8"/>
      <c r="I39" s="3"/>
      <c r="J39" s="7">
        <f t="shared" si="25"/>
        <v>0</v>
      </c>
      <c r="K39" s="3"/>
      <c r="L39" s="8">
        <f t="shared" si="26"/>
        <v>1850</v>
      </c>
      <c r="M39" s="3"/>
      <c r="N39" s="7">
        <f t="shared" si="27"/>
        <v>0</v>
      </c>
      <c r="O39" s="12"/>
      <c r="P39" s="8">
        <v>1850</v>
      </c>
      <c r="Q39" s="3"/>
      <c r="R39" s="7">
        <f t="shared" si="28"/>
        <v>0</v>
      </c>
      <c r="S39" s="3"/>
      <c r="T39" s="8"/>
      <c r="U39" s="3"/>
      <c r="V39" s="7">
        <f t="shared" si="29"/>
        <v>0</v>
      </c>
      <c r="W39" s="3"/>
      <c r="X39" s="8">
        <f t="shared" si="30"/>
        <v>1850</v>
      </c>
      <c r="Y39" s="3"/>
      <c r="Z39" s="7">
        <f t="shared" si="31"/>
        <v>0</v>
      </c>
    </row>
    <row r="40" spans="1:26" s="29" customFormat="1" outlineLevel="1" collapsed="1" x14ac:dyDescent="0.3">
      <c r="A40" s="28"/>
      <c r="B40" s="14" t="str">
        <f>CONCATENATE("     ","Repair and Maintenance                            ")</f>
        <v xml:space="preserve">     Repair and Maintenance                            </v>
      </c>
      <c r="C40" s="14"/>
      <c r="D40" s="1">
        <f>SUM(OSRRefD22_6x_0)</f>
        <v>130.94999999999999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130.94999999999999</v>
      </c>
      <c r="M40" s="1"/>
      <c r="N40" s="5">
        <f t="shared" si="27"/>
        <v>0</v>
      </c>
      <c r="O40" s="14"/>
      <c r="P40" s="1">
        <f>SUM(OSRRefP22_6x_0)</f>
        <v>130.94999999999999</v>
      </c>
      <c r="Q40" s="1"/>
      <c r="R40" s="5">
        <f t="shared" si="28"/>
        <v>0</v>
      </c>
      <c r="S40" s="1"/>
      <c r="T40" s="1">
        <f>SUM(OSRRefT22_6x_0)</f>
        <v>0</v>
      </c>
      <c r="U40" s="1"/>
      <c r="V40" s="5">
        <f t="shared" si="29"/>
        <v>0</v>
      </c>
      <c r="W40" s="1"/>
      <c r="X40" s="1">
        <f t="shared" si="30"/>
        <v>130.94999999999999</v>
      </c>
      <c r="Y40" s="1"/>
      <c r="Z40" s="5">
        <f t="shared" si="31"/>
        <v>0</v>
      </c>
    </row>
    <row r="41" spans="1:26" s="24" customFormat="1" hidden="1" outlineLevel="2" x14ac:dyDescent="0.3">
      <c r="A41" s="27"/>
      <c r="B41" s="12" t="str">
        <f>CONCATENATE("          ", "6375", " - ", "OUTSIDE REPAIRS &amp; MAINTENANCE")</f>
        <v xml:space="preserve">          6375 - OUTSIDE REPAIRS &amp; MAINTENANCE</v>
      </c>
      <c r="C41" s="12"/>
      <c r="D41" s="8">
        <v>130.94999999999999</v>
      </c>
      <c r="E41" s="3"/>
      <c r="F41" s="7">
        <f t="shared" si="24"/>
        <v>0</v>
      </c>
      <c r="G41" s="3"/>
      <c r="H41" s="8"/>
      <c r="I41" s="3"/>
      <c r="J41" s="7">
        <f t="shared" si="25"/>
        <v>0</v>
      </c>
      <c r="K41" s="3"/>
      <c r="L41" s="8">
        <f t="shared" si="26"/>
        <v>130.94999999999999</v>
      </c>
      <c r="M41" s="3"/>
      <c r="N41" s="7">
        <f t="shared" si="27"/>
        <v>0</v>
      </c>
      <c r="O41" s="12"/>
      <c r="P41" s="8">
        <v>130.94999999999999</v>
      </c>
      <c r="Q41" s="3"/>
      <c r="R41" s="7">
        <f t="shared" si="28"/>
        <v>0</v>
      </c>
      <c r="S41" s="3"/>
      <c r="T41" s="8"/>
      <c r="U41" s="3"/>
      <c r="V41" s="7">
        <f t="shared" si="29"/>
        <v>0</v>
      </c>
      <c r="W41" s="3"/>
      <c r="X41" s="8">
        <f t="shared" si="30"/>
        <v>130.94999999999999</v>
      </c>
      <c r="Y41" s="3"/>
      <c r="Z41" s="7">
        <f t="shared" si="31"/>
        <v>0</v>
      </c>
    </row>
    <row r="42" spans="1:26" s="29" customFormat="1" outlineLevel="1" collapsed="1" x14ac:dyDescent="0.3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SUM(OSRRefD22_7x_0)</f>
        <v>43.79</v>
      </c>
      <c r="E42" s="1"/>
      <c r="F42" s="5">
        <f t="shared" si="24"/>
        <v>0</v>
      </c>
      <c r="G42" s="1"/>
      <c r="H42" s="1">
        <f>SUM(OSRRefH22_7x_0)</f>
        <v>0</v>
      </c>
      <c r="I42" s="1"/>
      <c r="J42" s="5">
        <f t="shared" si="25"/>
        <v>0</v>
      </c>
      <c r="K42" s="1"/>
      <c r="L42" s="1">
        <f t="shared" si="26"/>
        <v>43.79</v>
      </c>
      <c r="M42" s="1"/>
      <c r="N42" s="5">
        <f t="shared" si="27"/>
        <v>0</v>
      </c>
      <c r="O42" s="14"/>
      <c r="P42" s="1">
        <f>SUM(OSRRefP22_7x_0)</f>
        <v>43.79</v>
      </c>
      <c r="Q42" s="1"/>
      <c r="R42" s="5">
        <f t="shared" si="28"/>
        <v>0</v>
      </c>
      <c r="S42" s="1"/>
      <c r="T42" s="1">
        <f>SUM(OSRRefT22_7x_0)</f>
        <v>0</v>
      </c>
      <c r="U42" s="1"/>
      <c r="V42" s="5">
        <f t="shared" si="29"/>
        <v>0</v>
      </c>
      <c r="W42" s="1"/>
      <c r="X42" s="1">
        <f t="shared" si="30"/>
        <v>43.79</v>
      </c>
      <c r="Y42" s="1"/>
      <c r="Z42" s="5">
        <f t="shared" si="31"/>
        <v>0</v>
      </c>
    </row>
    <row r="43" spans="1:26" s="24" customFormat="1" hidden="1" outlineLevel="2" x14ac:dyDescent="0.3">
      <c r="A43" s="27"/>
      <c r="B43" s="12" t="str">
        <f>CONCATENATE("          ", "6241", " - ", "OFFICE EXPENSE")</f>
        <v xml:space="preserve">          6241 - OFFICE EXPENSE</v>
      </c>
      <c r="C43" s="12"/>
      <c r="D43" s="8">
        <v>43.79</v>
      </c>
      <c r="E43" s="3"/>
      <c r="F43" s="7">
        <f t="shared" si="24"/>
        <v>0</v>
      </c>
      <c r="G43" s="3"/>
      <c r="H43" s="8"/>
      <c r="I43" s="3"/>
      <c r="J43" s="7">
        <f t="shared" si="25"/>
        <v>0</v>
      </c>
      <c r="K43" s="3"/>
      <c r="L43" s="8">
        <f t="shared" si="26"/>
        <v>43.79</v>
      </c>
      <c r="M43" s="3"/>
      <c r="N43" s="7">
        <f t="shared" si="27"/>
        <v>0</v>
      </c>
      <c r="O43" s="12"/>
      <c r="P43" s="8">
        <v>43.79</v>
      </c>
      <c r="Q43" s="3"/>
      <c r="R43" s="7">
        <f t="shared" si="28"/>
        <v>0</v>
      </c>
      <c r="S43" s="3"/>
      <c r="T43" s="8"/>
      <c r="U43" s="3"/>
      <c r="V43" s="7">
        <f t="shared" si="29"/>
        <v>0</v>
      </c>
      <c r="W43" s="3"/>
      <c r="X43" s="8">
        <f t="shared" si="30"/>
        <v>43.79</v>
      </c>
      <c r="Y43" s="3"/>
      <c r="Z43" s="7">
        <f t="shared" si="31"/>
        <v>0</v>
      </c>
    </row>
    <row r="44" spans="1:26" s="29" customFormat="1" outlineLevel="1" collapsed="1" x14ac:dyDescent="0.3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SUM(OSRRefD22_8x_0)</f>
        <v>150</v>
      </c>
      <c r="E44" s="1"/>
      <c r="F44" s="5">
        <f t="shared" si="24"/>
        <v>0</v>
      </c>
      <c r="G44" s="1"/>
      <c r="H44" s="1">
        <f>SUM(OSRRefH22_8x_0)</f>
        <v>23</v>
      </c>
      <c r="I44" s="1"/>
      <c r="J44" s="5">
        <f t="shared" si="25"/>
        <v>0</v>
      </c>
      <c r="K44" s="1"/>
      <c r="L44" s="1">
        <f t="shared" si="26"/>
        <v>127</v>
      </c>
      <c r="M44" s="1"/>
      <c r="N44" s="5">
        <f t="shared" si="27"/>
        <v>5.5217391304347823</v>
      </c>
      <c r="O44" s="14"/>
      <c r="P44" s="1">
        <f>SUM(OSRRefP22_8x_0)</f>
        <v>150</v>
      </c>
      <c r="Q44" s="1"/>
      <c r="R44" s="5">
        <f t="shared" si="28"/>
        <v>0</v>
      </c>
      <c r="S44" s="1"/>
      <c r="T44" s="1">
        <f>SUM(OSRRefT22_8x_0)</f>
        <v>23</v>
      </c>
      <c r="U44" s="1"/>
      <c r="V44" s="5">
        <f t="shared" si="29"/>
        <v>0</v>
      </c>
      <c r="W44" s="1"/>
      <c r="X44" s="1">
        <f t="shared" si="30"/>
        <v>127</v>
      </c>
      <c r="Y44" s="1"/>
      <c r="Z44" s="5">
        <f t="shared" si="31"/>
        <v>5.5217391304347823</v>
      </c>
    </row>
    <row r="45" spans="1:26" s="24" customFormat="1" hidden="1" outlineLevel="2" x14ac:dyDescent="0.3">
      <c r="A45" s="27"/>
      <c r="B45" s="12" t="str">
        <f>CONCATENATE("          ", "6309", " - ", "TELEPHONE")</f>
        <v xml:space="preserve">          6309 - TELEPHONE</v>
      </c>
      <c r="C45" s="12"/>
      <c r="D45" s="8">
        <v>150</v>
      </c>
      <c r="E45" s="3"/>
      <c r="F45" s="7">
        <f t="shared" si="24"/>
        <v>0</v>
      </c>
      <c r="G45" s="3"/>
      <c r="H45" s="8">
        <v>23</v>
      </c>
      <c r="I45" s="3"/>
      <c r="J45" s="7">
        <f t="shared" si="25"/>
        <v>0</v>
      </c>
      <c r="K45" s="3"/>
      <c r="L45" s="8">
        <f t="shared" si="26"/>
        <v>127</v>
      </c>
      <c r="M45" s="3"/>
      <c r="N45" s="7">
        <f t="shared" si="27"/>
        <v>5.5217391304347823</v>
      </c>
      <c r="O45" s="12"/>
      <c r="P45" s="8">
        <v>150</v>
      </c>
      <c r="Q45" s="3"/>
      <c r="R45" s="7">
        <f t="shared" si="28"/>
        <v>0</v>
      </c>
      <c r="S45" s="3"/>
      <c r="T45" s="8">
        <v>23</v>
      </c>
      <c r="U45" s="3"/>
      <c r="V45" s="7">
        <f t="shared" si="29"/>
        <v>0</v>
      </c>
      <c r="W45" s="3"/>
      <c r="X45" s="8">
        <f t="shared" si="30"/>
        <v>127</v>
      </c>
      <c r="Y45" s="3"/>
      <c r="Z45" s="7">
        <f t="shared" si="31"/>
        <v>5.5217391304347823</v>
      </c>
    </row>
    <row r="46" spans="1:26" s="29" customFormat="1" outlineLevel="1" collapsed="1" x14ac:dyDescent="0.3">
      <c r="A46" s="28"/>
      <c r="B46" s="14" t="str">
        <f>CONCATENATE("     ","Utilities                                         ")</f>
        <v xml:space="preserve">     Utilities                                         </v>
      </c>
      <c r="C46" s="14"/>
      <c r="D46" s="1">
        <f>SUM(OSRRefD22_9x_0)</f>
        <v>200</v>
      </c>
      <c r="E46" s="1"/>
      <c r="F46" s="5">
        <f t="shared" si="24"/>
        <v>0</v>
      </c>
      <c r="G46" s="1"/>
      <c r="H46" s="1">
        <f>SUM(OSRRefH22_9x_0)</f>
        <v>0</v>
      </c>
      <c r="I46" s="1"/>
      <c r="J46" s="5">
        <f t="shared" si="25"/>
        <v>0</v>
      </c>
      <c r="K46" s="1"/>
      <c r="L46" s="1">
        <f t="shared" si="26"/>
        <v>200</v>
      </c>
      <c r="M46" s="1"/>
      <c r="N46" s="5">
        <f t="shared" si="27"/>
        <v>0</v>
      </c>
      <c r="O46" s="14"/>
      <c r="P46" s="1">
        <f>SUM(OSRRefP22_9x_0)</f>
        <v>200</v>
      </c>
      <c r="Q46" s="1"/>
      <c r="R46" s="5">
        <f t="shared" si="28"/>
        <v>0</v>
      </c>
      <c r="S46" s="1"/>
      <c r="T46" s="1">
        <f>SUM(OSRRefT22_9x_0)</f>
        <v>0</v>
      </c>
      <c r="U46" s="1"/>
      <c r="V46" s="5">
        <f t="shared" si="29"/>
        <v>0</v>
      </c>
      <c r="W46" s="1"/>
      <c r="X46" s="1">
        <f t="shared" si="30"/>
        <v>200</v>
      </c>
      <c r="Y46" s="1"/>
      <c r="Z46" s="5">
        <f t="shared" si="31"/>
        <v>0</v>
      </c>
    </row>
    <row r="47" spans="1:26" s="24" customFormat="1" hidden="1" outlineLevel="2" x14ac:dyDescent="0.3">
      <c r="A47" s="27"/>
      <c r="B47" s="12" t="str">
        <f>CONCATENATE("          ", "6274", " - ", "UTILITIES")</f>
        <v xml:space="preserve">          6274 - UTILITIES</v>
      </c>
      <c r="C47" s="12"/>
      <c r="D47" s="8">
        <v>200</v>
      </c>
      <c r="E47" s="3"/>
      <c r="F47" s="7">
        <f t="shared" si="24"/>
        <v>0</v>
      </c>
      <c r="G47" s="3"/>
      <c r="H47" s="8"/>
      <c r="I47" s="3"/>
      <c r="J47" s="7">
        <f t="shared" si="25"/>
        <v>0</v>
      </c>
      <c r="K47" s="3"/>
      <c r="L47" s="8">
        <f t="shared" si="26"/>
        <v>200</v>
      </c>
      <c r="M47" s="3"/>
      <c r="N47" s="7">
        <f t="shared" si="27"/>
        <v>0</v>
      </c>
      <c r="O47" s="12"/>
      <c r="P47" s="8">
        <v>200</v>
      </c>
      <c r="Q47" s="3"/>
      <c r="R47" s="7">
        <f t="shared" si="28"/>
        <v>0</v>
      </c>
      <c r="S47" s="3"/>
      <c r="T47" s="8"/>
      <c r="U47" s="3"/>
      <c r="V47" s="7">
        <f t="shared" si="29"/>
        <v>0</v>
      </c>
      <c r="W47" s="3"/>
      <c r="X47" s="8">
        <f t="shared" si="30"/>
        <v>200</v>
      </c>
      <c r="Y47" s="3"/>
      <c r="Z47" s="7">
        <f t="shared" si="31"/>
        <v>0</v>
      </c>
    </row>
    <row r="48" spans="1:26" s="53" customFormat="1" x14ac:dyDescent="0.3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3">
      <c r="A49" s="10"/>
      <c r="B49" s="25" t="s">
        <v>292</v>
      </c>
      <c r="C49" s="10"/>
      <c r="D49" s="4">
        <f>SUM(0)</f>
        <v>0</v>
      </c>
      <c r="E49" s="4"/>
      <c r="F49" s="11">
        <f>IF(D$12=0,0,D49/D$12)</f>
        <v>0</v>
      </c>
      <c r="G49" s="4"/>
      <c r="H49" s="4">
        <f>SUM(0)</f>
        <v>0</v>
      </c>
      <c r="I49" s="4"/>
      <c r="J49" s="11">
        <f>IF(H$12=0,0,H49/H$12)</f>
        <v>0</v>
      </c>
      <c r="K49" s="4"/>
      <c r="L49" s="4">
        <f>+D49-H49</f>
        <v>0</v>
      </c>
      <c r="M49" s="4"/>
      <c r="N49" s="11">
        <f>IF(H49=0,0,L49/H49)</f>
        <v>0</v>
      </c>
      <c r="O49" s="10"/>
      <c r="P49" s="4">
        <f>SUM(0)</f>
        <v>0</v>
      </c>
      <c r="Q49" s="4"/>
      <c r="R49" s="11">
        <f>IF(P$12=0,0,P49/P$12)</f>
        <v>0</v>
      </c>
      <c r="S49" s="4"/>
      <c r="T49" s="4">
        <f>SUM(0)</f>
        <v>0</v>
      </c>
      <c r="U49" s="4"/>
      <c r="V49" s="11">
        <f>IF(T$12=0,0,T49/T$12)</f>
        <v>0</v>
      </c>
      <c r="W49" s="4"/>
      <c r="X49" s="4">
        <f>+P49-T49</f>
        <v>0</v>
      </c>
      <c r="Y49" s="4"/>
      <c r="Z49" s="11">
        <f>IF(T49=0,0,X49/T49)</f>
        <v>0</v>
      </c>
    </row>
    <row r="50" spans="1:26" x14ac:dyDescent="0.3">
      <c r="A50" s="9"/>
      <c r="B50" s="10"/>
      <c r="C50" s="10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O50" s="10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x14ac:dyDescent="0.3">
      <c r="A51" s="10"/>
      <c r="B51" s="26" t="s">
        <v>276</v>
      </c>
      <c r="C51" s="26"/>
      <c r="D51" s="20">
        <f>+D16-D18+D49</f>
        <v>-13284.030000000002</v>
      </c>
      <c r="E51" s="13"/>
      <c r="F51" s="21">
        <f>IF(D$12=0,0,D51/D$12)</f>
        <v>0</v>
      </c>
      <c r="G51" s="13"/>
      <c r="H51" s="20">
        <f>+H16-H18+H49</f>
        <v>-6467.6</v>
      </c>
      <c r="I51" s="13"/>
      <c r="J51" s="21">
        <f>IF(H$12=0,0,H51/H$12)</f>
        <v>0</v>
      </c>
      <c r="K51" s="16"/>
      <c r="L51" s="20">
        <f>+D51-H51</f>
        <v>-6816.4300000000021</v>
      </c>
      <c r="M51" s="16"/>
      <c r="N51" s="21">
        <f>IF(H51=0,0,L51/H51)</f>
        <v>1.053934999072299</v>
      </c>
      <c r="O51" s="25"/>
      <c r="P51" s="20">
        <f>+P16-P18+P49</f>
        <v>-13284.030000000002</v>
      </c>
      <c r="Q51" s="13"/>
      <c r="R51" s="21">
        <f>IF(P$12=0,0,P51/P$12)</f>
        <v>0</v>
      </c>
      <c r="S51" s="13"/>
      <c r="T51" s="20">
        <f>+T16-T18+T49</f>
        <v>-6467.6</v>
      </c>
      <c r="U51" s="13"/>
      <c r="V51" s="21">
        <f>IF(T$12=0,0,T51/T$12)</f>
        <v>0</v>
      </c>
      <c r="W51" s="16"/>
      <c r="X51" s="20">
        <f>+P51-T51</f>
        <v>-6816.4300000000021</v>
      </c>
      <c r="Y51" s="16"/>
      <c r="Z51" s="21">
        <f>IF(T51=0,0,X51/T51)</f>
        <v>1.053934999072299</v>
      </c>
    </row>
    <row r="52" spans="1:26" x14ac:dyDescent="0.3">
      <c r="A52" s="9"/>
      <c r="B52" s="10"/>
      <c r="C52" s="9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3">
      <c r="A53" s="51"/>
      <c r="B53" s="10" t="s">
        <v>127</v>
      </c>
      <c r="C53" s="10"/>
      <c r="D53" s="4"/>
      <c r="E53" s="4"/>
      <c r="F53" s="11">
        <f>IF(D$12=0,0,D53/D$12)</f>
        <v>0</v>
      </c>
      <c r="G53" s="4"/>
      <c r="H53" s="4"/>
      <c r="I53" s="4"/>
      <c r="J53" s="11">
        <f>IF(H$12=0,0,H53/H$12)</f>
        <v>0</v>
      </c>
      <c r="K53" s="4"/>
      <c r="L53" s="4">
        <f>+D53-H53</f>
        <v>0</v>
      </c>
      <c r="M53" s="4"/>
      <c r="N53" s="11">
        <f>IF(H53=0,0,L53/H53)</f>
        <v>0</v>
      </c>
      <c r="O53" s="10"/>
      <c r="P53" s="4"/>
      <c r="Q53" s="4"/>
      <c r="R53" s="11">
        <f>IF(P$12=0,0,P53/P$12)</f>
        <v>0</v>
      </c>
      <c r="S53" s="4"/>
      <c r="T53" s="4"/>
      <c r="U53" s="4"/>
      <c r="V53" s="11">
        <f>IF(T$12=0,0,T53/T$12)</f>
        <v>0</v>
      </c>
      <c r="W53" s="4"/>
      <c r="X53" s="4">
        <f>+P53-T53</f>
        <v>0</v>
      </c>
      <c r="Y53" s="4"/>
      <c r="Z53" s="11">
        <f>IF(T53=0,0,X53/T53)</f>
        <v>0</v>
      </c>
    </row>
    <row r="54" spans="1:26" x14ac:dyDescent="0.3">
      <c r="A54" s="9"/>
      <c r="B54" s="10"/>
      <c r="C54" s="10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10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" thickBot="1" x14ac:dyDescent="0.35">
      <c r="A55" s="10"/>
      <c r="B55" s="26" t="s">
        <v>125</v>
      </c>
      <c r="C55" s="26"/>
      <c r="D55" s="36">
        <f>+D51-D53</f>
        <v>-13284.030000000002</v>
      </c>
      <c r="E55" s="13"/>
      <c r="F55" s="34">
        <f>IF(D$12=0,0,D55/D$12)</f>
        <v>0</v>
      </c>
      <c r="G55" s="13"/>
      <c r="H55" s="36">
        <f>+H51-H53</f>
        <v>-6467.6</v>
      </c>
      <c r="I55" s="13"/>
      <c r="J55" s="34">
        <f>IF(H$12=0,0,H55/H$12)</f>
        <v>0</v>
      </c>
      <c r="K55" s="16"/>
      <c r="L55" s="36">
        <f>D55-H55</f>
        <v>-6816.4300000000021</v>
      </c>
      <c r="M55" s="16"/>
      <c r="N55" s="34">
        <f>IF(H55=0,0,L55/H55)</f>
        <v>1.053934999072299</v>
      </c>
      <c r="O55" s="25"/>
      <c r="P55" s="36">
        <f>+P51-P53</f>
        <v>-13284.030000000002</v>
      </c>
      <c r="Q55" s="13"/>
      <c r="R55" s="34">
        <f>IF(P$12=0,0,P55/P$12)</f>
        <v>0</v>
      </c>
      <c r="S55" s="13"/>
      <c r="T55" s="36">
        <f>+T51-T53</f>
        <v>-6467.6</v>
      </c>
      <c r="U55" s="13"/>
      <c r="V55" s="34">
        <f>IF(T$12=0,0,T55/T$12)</f>
        <v>0</v>
      </c>
      <c r="W55" s="16"/>
      <c r="X55" s="36">
        <f>P55-T55</f>
        <v>-6816.4300000000021</v>
      </c>
      <c r="Y55" s="16"/>
      <c r="Z55" s="34">
        <f>IF(T55=0,0,X55/T55)</f>
        <v>1.053934999072299</v>
      </c>
    </row>
    <row r="56" spans="1:26" ht="15" thickTop="1" x14ac:dyDescent="0.3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x14ac:dyDescent="0.3">
      <c r="A57" s="9"/>
      <c r="B57" s="9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ht="15" thickBot="1" x14ac:dyDescent="0.35">
      <c r="A58" s="10"/>
      <c r="B58" s="26" t="s">
        <v>293</v>
      </c>
      <c r="C58" s="26"/>
      <c r="D58" s="31">
        <f>SUM(D55:D57)</f>
        <v>-13284.030000000002</v>
      </c>
      <c r="E58" s="13"/>
      <c r="F58" s="33">
        <f>IF(D$12=0,0,D58/D$12)</f>
        <v>0</v>
      </c>
      <c r="G58" s="13"/>
      <c r="H58" s="31">
        <f>SUM(H55:H57)</f>
        <v>-6467.6</v>
      </c>
      <c r="I58" s="13"/>
      <c r="J58" s="33">
        <f>IF(H$12=0,0,H58/H$12)</f>
        <v>0</v>
      </c>
      <c r="K58" s="16"/>
      <c r="L58" s="31">
        <f>+D58-H58</f>
        <v>-6816.4300000000021</v>
      </c>
      <c r="M58" s="16"/>
      <c r="N58" s="33">
        <f>IF(H58=0,0,L58/H58)</f>
        <v>1.053934999072299</v>
      </c>
      <c r="O58" s="25"/>
      <c r="P58" s="31">
        <f>SUM(P55:P57)</f>
        <v>-13284.030000000002</v>
      </c>
      <c r="Q58" s="13"/>
      <c r="R58" s="33">
        <f>IF(P$12=0,0,P58/P$12)</f>
        <v>0</v>
      </c>
      <c r="S58" s="13"/>
      <c r="T58" s="31">
        <f>SUM(T55:T57)</f>
        <v>-6467.6</v>
      </c>
      <c r="U58" s="13"/>
      <c r="V58" s="33">
        <f>IF(T$12=0,0,T58/T$12)</f>
        <v>0</v>
      </c>
      <c r="W58" s="16"/>
      <c r="X58" s="31">
        <f>+P58-T58</f>
        <v>-6816.4300000000021</v>
      </c>
      <c r="Y58" s="16"/>
      <c r="Z58" s="33">
        <f>IF(T58=0,0,X58/T58)</f>
        <v>1.053934999072299</v>
      </c>
    </row>
    <row r="59" spans="1:26" ht="15" thickTop="1" x14ac:dyDescent="0.3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A60" s="9"/>
      <c r="B60" s="59">
        <v>44462.666945868055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57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61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0</v>
      </c>
      <c r="E18" s="19"/>
      <c r="F18" s="35">
        <f t="shared" ref="F18:F26" si="0">IF(D$12=0,0,D18/D$12)</f>
        <v>0</v>
      </c>
      <c r="G18" s="19"/>
      <c r="H18" s="19">
        <f>SUM(OSRRefH22x_0)</f>
        <v>880.36999999999989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-880.36999999999989</v>
      </c>
      <c r="M18" s="4"/>
      <c r="N18" s="35">
        <f t="shared" ref="N18:N26" si="3">IF(H18=0,0,L18/H18)</f>
        <v>-1</v>
      </c>
      <c r="O18" s="10"/>
      <c r="P18" s="19">
        <f>SUM(OSRRefP22x_0)</f>
        <v>0</v>
      </c>
      <c r="Q18" s="19"/>
      <c r="R18" s="35">
        <f t="shared" ref="R18:R26" si="4">IF(P$12=0,0,P18/P$12)</f>
        <v>0</v>
      </c>
      <c r="S18" s="19"/>
      <c r="T18" s="19">
        <f>SUM(OSRRefT22x_0)</f>
        <v>880.36999999999989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-880.36999999999989</v>
      </c>
      <c r="Y18" s="4"/>
      <c r="Z18" s="35">
        <f t="shared" ref="Z18:Z26" si="7">IF(T18=0,0,X18/T18)</f>
        <v>-1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660.8</v>
      </c>
      <c r="I19" s="1"/>
      <c r="J19" s="5">
        <f t="shared" si="1"/>
        <v>0</v>
      </c>
      <c r="K19" s="1"/>
      <c r="L19" s="1">
        <f t="shared" si="2"/>
        <v>-660.8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2" t="str">
        <f>CONCATENATE("          ", "6113", " - ", 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>
        <v>660.8</v>
      </c>
      <c r="I20" s="3"/>
      <c r="J20" s="7">
        <f t="shared" si="1"/>
        <v>0</v>
      </c>
      <c r="K20" s="3"/>
      <c r="L20" s="8">
        <f t="shared" si="2"/>
        <v>-660.8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660.8</v>
      </c>
      <c r="U20" s="3"/>
      <c r="V20" s="7">
        <f t="shared" si="5"/>
        <v>0</v>
      </c>
      <c r="W20" s="3"/>
      <c r="X20" s="8">
        <f t="shared" si="6"/>
        <v>-660.8</v>
      </c>
      <c r="Y20" s="3"/>
      <c r="Z20" s="7">
        <f t="shared" si="7"/>
        <v>-1</v>
      </c>
    </row>
    <row r="21" spans="1:26" s="29" customFormat="1" outlineLevel="1" collapsed="1" x14ac:dyDescent="0.3">
      <c r="A21" s="28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119.55</v>
      </c>
      <c r="U21" s="1"/>
      <c r="V21" s="5">
        <f t="shared" si="5"/>
        <v>0</v>
      </c>
      <c r="W21" s="1"/>
      <c r="X21" s="1">
        <f t="shared" si="6"/>
        <v>-119.55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2" t="str">
        <f>CONCATENATE("          ", "6322", " - ", "EQUIPMENT DEPRECIATION EXPENSE")</f>
        <v xml:space="preserve">          6322 - EQUIPMENT DEPRECIATION EXPENSE</v>
      </c>
      <c r="C22" s="12"/>
      <c r="D22" s="8"/>
      <c r="E22" s="3"/>
      <c r="F22" s="7">
        <f t="shared" si="0"/>
        <v>0</v>
      </c>
      <c r="G22" s="3"/>
      <c r="H22" s="8">
        <v>119.55</v>
      </c>
      <c r="I22" s="3"/>
      <c r="J22" s="7">
        <f t="shared" si="1"/>
        <v>0</v>
      </c>
      <c r="K22" s="3"/>
      <c r="L22" s="8">
        <f t="shared" si="2"/>
        <v>-119.55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119.55</v>
      </c>
      <c r="U22" s="3"/>
      <c r="V22" s="7">
        <f t="shared" si="5"/>
        <v>0</v>
      </c>
      <c r="W22" s="3"/>
      <c r="X22" s="8">
        <f t="shared" si="6"/>
        <v>-119.55</v>
      </c>
      <c r="Y22" s="3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64.02</v>
      </c>
      <c r="I23" s="1"/>
      <c r="J23" s="5">
        <f t="shared" si="1"/>
        <v>0</v>
      </c>
      <c r="K23" s="1"/>
      <c r="L23" s="1">
        <f t="shared" si="2"/>
        <v>-64.02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2" t="str">
        <f>CONCATENATE("          ", "6351", " - ", "EQUIPMENT RENTAL")</f>
        <v xml:space="preserve">          6351 - EQUIPMENT RENTAL</v>
      </c>
      <c r="C24" s="12"/>
      <c r="D24" s="8"/>
      <c r="E24" s="3"/>
      <c r="F24" s="7">
        <f t="shared" si="0"/>
        <v>0</v>
      </c>
      <c r="G24" s="3"/>
      <c r="H24" s="8">
        <v>64.02</v>
      </c>
      <c r="I24" s="3"/>
      <c r="J24" s="7">
        <f t="shared" si="1"/>
        <v>0</v>
      </c>
      <c r="K24" s="3"/>
      <c r="L24" s="8">
        <f t="shared" si="2"/>
        <v>-64.02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64.02</v>
      </c>
      <c r="U24" s="3"/>
      <c r="V24" s="7">
        <f t="shared" si="5"/>
        <v>0</v>
      </c>
      <c r="W24" s="3"/>
      <c r="X24" s="8">
        <f t="shared" si="6"/>
        <v>-64.02</v>
      </c>
      <c r="Y24" s="3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36</v>
      </c>
      <c r="I25" s="1"/>
      <c r="J25" s="5">
        <f t="shared" si="1"/>
        <v>0</v>
      </c>
      <c r="K25" s="1"/>
      <c r="L25" s="1">
        <f t="shared" si="2"/>
        <v>-36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36</v>
      </c>
      <c r="U25" s="1"/>
      <c r="V25" s="5">
        <f t="shared" si="5"/>
        <v>0</v>
      </c>
      <c r="W25" s="1"/>
      <c r="X25" s="1">
        <f t="shared" si="6"/>
        <v>-36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2" t="str">
        <f>CONCATENATE("          ", "6309", " - ", 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>
        <v>36</v>
      </c>
      <c r="I26" s="3"/>
      <c r="J26" s="7">
        <f t="shared" si="1"/>
        <v>0</v>
      </c>
      <c r="K26" s="3"/>
      <c r="L26" s="8">
        <f t="shared" si="2"/>
        <v>-36</v>
      </c>
      <c r="M26" s="3"/>
      <c r="N26" s="7">
        <f t="shared" si="3"/>
        <v>-1</v>
      </c>
      <c r="O26" s="12"/>
      <c r="P26" s="8"/>
      <c r="Q26" s="3"/>
      <c r="R26" s="7">
        <f t="shared" si="4"/>
        <v>0</v>
      </c>
      <c r="S26" s="3"/>
      <c r="T26" s="8">
        <v>36</v>
      </c>
      <c r="U26" s="3"/>
      <c r="V26" s="7">
        <f t="shared" si="5"/>
        <v>0</v>
      </c>
      <c r="W26" s="3"/>
      <c r="X26" s="8">
        <f t="shared" si="6"/>
        <v>-36</v>
      </c>
      <c r="Y26" s="3"/>
      <c r="Z26" s="7">
        <f t="shared" si="7"/>
        <v>-1</v>
      </c>
    </row>
    <row r="27" spans="1:26" s="53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292</v>
      </c>
      <c r="C28" s="10"/>
      <c r="D28" s="4">
        <f>SUM(0)</f>
        <v>0</v>
      </c>
      <c r="E28" s="4"/>
      <c r="F28" s="11">
        <f>IF(D$12=0,0,D28/D$12)</f>
        <v>0</v>
      </c>
      <c r="G28" s="4"/>
      <c r="H28" s="4">
        <f>SUM(0)</f>
        <v>0</v>
      </c>
      <c r="I28" s="4"/>
      <c r="J28" s="11">
        <f>IF(H$12=0,0,H28/H$12)</f>
        <v>0</v>
      </c>
      <c r="K28" s="4"/>
      <c r="L28" s="4">
        <f>+D28-H28</f>
        <v>0</v>
      </c>
      <c r="M28" s="4"/>
      <c r="N28" s="11">
        <f>IF(H28=0,0,L28/H28)</f>
        <v>0</v>
      </c>
      <c r="O28" s="10"/>
      <c r="P28" s="4">
        <f>SUM(0)</f>
        <v>0</v>
      </c>
      <c r="Q28" s="4"/>
      <c r="R28" s="11">
        <f>IF(P$12=0,0,P28/P$12)</f>
        <v>0</v>
      </c>
      <c r="S28" s="4"/>
      <c r="T28" s="4">
        <f>SUM(0)</f>
        <v>0</v>
      </c>
      <c r="U28" s="4"/>
      <c r="V28" s="11">
        <f>IF(T$12=0,0,T28/T$12)</f>
        <v>0</v>
      </c>
      <c r="W28" s="4"/>
      <c r="X28" s="4">
        <f>+P28-T28</f>
        <v>0</v>
      </c>
      <c r="Y28" s="4"/>
      <c r="Z28" s="11">
        <f>IF(T28=0,0,X28/T28)</f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276</v>
      </c>
      <c r="C30" s="26"/>
      <c r="D30" s="20">
        <f>+D16-D18+D28</f>
        <v>0</v>
      </c>
      <c r="E30" s="13"/>
      <c r="F30" s="21">
        <f>IF(D$12=0,0,D30/D$12)</f>
        <v>0</v>
      </c>
      <c r="G30" s="13"/>
      <c r="H30" s="20">
        <f>+H16-H18+H28</f>
        <v>-880.36999999999989</v>
      </c>
      <c r="I30" s="13"/>
      <c r="J30" s="21">
        <f>IF(H$12=0,0,H30/H$12)</f>
        <v>0</v>
      </c>
      <c r="K30" s="16"/>
      <c r="L30" s="20">
        <f>+D30-H30</f>
        <v>880.36999999999989</v>
      </c>
      <c r="M30" s="16"/>
      <c r="N30" s="21">
        <f>IF(H30=0,0,L30/H30)</f>
        <v>-1</v>
      </c>
      <c r="O30" s="25"/>
      <c r="P30" s="20">
        <f>+P16-P18+P28</f>
        <v>0</v>
      </c>
      <c r="Q30" s="13"/>
      <c r="R30" s="21">
        <f>IF(P$12=0,0,P30/P$12)</f>
        <v>0</v>
      </c>
      <c r="S30" s="13"/>
      <c r="T30" s="20">
        <f>+T16-T18+T28</f>
        <v>-880.36999999999989</v>
      </c>
      <c r="U30" s="13"/>
      <c r="V30" s="21">
        <f>IF(T$12=0,0,T30/T$12)</f>
        <v>0</v>
      </c>
      <c r="W30" s="16"/>
      <c r="X30" s="20">
        <f>+P30-T30</f>
        <v>880.36999999999989</v>
      </c>
      <c r="Y30" s="16"/>
      <c r="Z30" s="21">
        <f>IF(T30=0,0,X30/T30)</f>
        <v>-1</v>
      </c>
    </row>
    <row r="31" spans="1:26" x14ac:dyDescent="0.3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x14ac:dyDescent="0.3">
      <c r="A32" s="51"/>
      <c r="B32" s="10" t="s">
        <v>127</v>
      </c>
      <c r="C32" s="10"/>
      <c r="D32" s="4"/>
      <c r="E32" s="4"/>
      <c r="F32" s="11">
        <f>IF(D$12=0,0,D32/D$12)</f>
        <v>0</v>
      </c>
      <c r="G32" s="4"/>
      <c r="H32" s="4"/>
      <c r="I32" s="4"/>
      <c r="J32" s="11">
        <f>IF(H$12=0,0,H32/H$12)</f>
        <v>0</v>
      </c>
      <c r="K32" s="4"/>
      <c r="L32" s="4">
        <f>+D32-H32</f>
        <v>0</v>
      </c>
      <c r="M32" s="4"/>
      <c r="N32" s="11">
        <f>IF(H32=0,0,L32/H32)</f>
        <v>0</v>
      </c>
      <c r="O32" s="10"/>
      <c r="P32" s="4"/>
      <c r="Q32" s="4"/>
      <c r="R32" s="11">
        <f>IF(P$12=0,0,P32/P$12)</f>
        <v>0</v>
      </c>
      <c r="S32" s="4"/>
      <c r="T32" s="4"/>
      <c r="U32" s="4"/>
      <c r="V32" s="11">
        <f>IF(T$12=0,0,T32/T$12)</f>
        <v>0</v>
      </c>
      <c r="W32" s="4"/>
      <c r="X32" s="4">
        <f>+P32-T32</f>
        <v>0</v>
      </c>
      <c r="Y32" s="4"/>
      <c r="Z32" s="11">
        <f>IF(T32=0,0,X32/T32)</f>
        <v>0</v>
      </c>
    </row>
    <row r="33" spans="1:26" x14ac:dyDescent="0.3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ht="15" thickBot="1" x14ac:dyDescent="0.35">
      <c r="A34" s="10"/>
      <c r="B34" s="26" t="s">
        <v>125</v>
      </c>
      <c r="C34" s="26"/>
      <c r="D34" s="36">
        <f>+D30-D32</f>
        <v>0</v>
      </c>
      <c r="E34" s="13"/>
      <c r="F34" s="34">
        <f>IF(D$12=0,0,D34/D$12)</f>
        <v>0</v>
      </c>
      <c r="G34" s="13"/>
      <c r="H34" s="36">
        <f>+H30-H32</f>
        <v>-880.36999999999989</v>
      </c>
      <c r="I34" s="13"/>
      <c r="J34" s="34">
        <f>IF(H$12=0,0,H34/H$12)</f>
        <v>0</v>
      </c>
      <c r="K34" s="16"/>
      <c r="L34" s="36">
        <f>D34-H34</f>
        <v>880.36999999999989</v>
      </c>
      <c r="M34" s="16"/>
      <c r="N34" s="34">
        <f>IF(H34=0,0,L34/H34)</f>
        <v>-1</v>
      </c>
      <c r="O34" s="25"/>
      <c r="P34" s="36">
        <f>+P30-P32</f>
        <v>0</v>
      </c>
      <c r="Q34" s="13"/>
      <c r="R34" s="34">
        <f>IF(P$12=0,0,P34/P$12)</f>
        <v>0</v>
      </c>
      <c r="S34" s="13"/>
      <c r="T34" s="36">
        <f>+T30-T32</f>
        <v>-880.36999999999989</v>
      </c>
      <c r="U34" s="13"/>
      <c r="V34" s="34">
        <f>IF(T$12=0,0,T34/T$12)</f>
        <v>0</v>
      </c>
      <c r="W34" s="16"/>
      <c r="X34" s="36">
        <f>P34-T34</f>
        <v>880.36999999999989</v>
      </c>
      <c r="Y34" s="16"/>
      <c r="Z34" s="34">
        <f>IF(T34=0,0,X34/T34)</f>
        <v>-1</v>
      </c>
    </row>
    <row r="35" spans="1:26" ht="15" thickTop="1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x14ac:dyDescent="0.3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3" customFormat="1" ht="15" thickBot="1" x14ac:dyDescent="0.35">
      <c r="A37" s="10"/>
      <c r="B37" s="26" t="s">
        <v>293</v>
      </c>
      <c r="C37" s="26"/>
      <c r="D37" s="31">
        <f>SUM(D34:D36)</f>
        <v>0</v>
      </c>
      <c r="E37" s="13"/>
      <c r="F37" s="33">
        <f>IF(D$12=0,0,D37/D$12)</f>
        <v>0</v>
      </c>
      <c r="G37" s="13"/>
      <c r="H37" s="31">
        <f>SUM(H34:H36)</f>
        <v>-880.36999999999989</v>
      </c>
      <c r="I37" s="13"/>
      <c r="J37" s="33">
        <f>IF(H$12=0,0,H37/H$12)</f>
        <v>0</v>
      </c>
      <c r="K37" s="16"/>
      <c r="L37" s="31">
        <f>+D37-H37</f>
        <v>880.36999999999989</v>
      </c>
      <c r="M37" s="16"/>
      <c r="N37" s="33">
        <f>IF(H37=0,0,L37/H37)</f>
        <v>-1</v>
      </c>
      <c r="O37" s="25"/>
      <c r="P37" s="31">
        <f>SUM(P34:P36)</f>
        <v>0</v>
      </c>
      <c r="Q37" s="13"/>
      <c r="R37" s="33">
        <f>IF(P$12=0,0,P37/P$12)</f>
        <v>0</v>
      </c>
      <c r="S37" s="13"/>
      <c r="T37" s="31">
        <f>SUM(T34:T36)</f>
        <v>-880.36999999999989</v>
      </c>
      <c r="U37" s="13"/>
      <c r="V37" s="33">
        <f>IF(T$12=0,0,T37/T$12)</f>
        <v>0</v>
      </c>
      <c r="W37" s="16"/>
      <c r="X37" s="31">
        <f>+P37-T37</f>
        <v>880.36999999999989</v>
      </c>
      <c r="Y37" s="16"/>
      <c r="Z37" s="33">
        <f>IF(T37=0,0,X37/T37)</f>
        <v>-1</v>
      </c>
    </row>
    <row r="38" spans="1:26" ht="15" thickTop="1" x14ac:dyDescent="0.3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>
        <v>44462.666945868055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7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61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48551.94</v>
      </c>
      <c r="E18" s="19"/>
      <c r="F18" s="35">
        <f t="shared" ref="F18:F27" si="0">IF(D$12=0,0,D18/D$12)</f>
        <v>0</v>
      </c>
      <c r="G18" s="19"/>
      <c r="H18" s="19">
        <f>SUM(OSRRefH22x_0)</f>
        <v>30652.21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17899.730000000003</v>
      </c>
      <c r="M18" s="4"/>
      <c r="N18" s="35">
        <f t="shared" ref="N18:N27" si="3">IF(H18=0,0,L18/H18)</f>
        <v>0.5839621351935147</v>
      </c>
      <c r="O18" s="10"/>
      <c r="P18" s="19">
        <f>SUM(OSRRefP22x_0)</f>
        <v>48551.94</v>
      </c>
      <c r="Q18" s="19"/>
      <c r="R18" s="35">
        <f t="shared" ref="R18:R27" si="4">IF(P$12=0,0,P18/P$12)</f>
        <v>0</v>
      </c>
      <c r="S18" s="19"/>
      <c r="T18" s="19">
        <f>SUM(OSRRefT22x_0)</f>
        <v>30652.21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17899.730000000003</v>
      </c>
      <c r="Y18" s="4"/>
      <c r="Z18" s="35">
        <f t="shared" ref="Z18:Z27" si="7">IF(T18=0,0,X18/T18)</f>
        <v>0.5839621351935147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8985.31</v>
      </c>
      <c r="E19" s="1"/>
      <c r="F19" s="5">
        <f t="shared" si="0"/>
        <v>0</v>
      </c>
      <c r="G19" s="1"/>
      <c r="H19" s="1">
        <f>SUM(OSRRefH22_0x_0)</f>
        <v>5378.3899999999994</v>
      </c>
      <c r="I19" s="1"/>
      <c r="J19" s="5">
        <f t="shared" si="1"/>
        <v>0</v>
      </c>
      <c r="K19" s="1"/>
      <c r="L19" s="1">
        <f t="shared" si="2"/>
        <v>3606.92</v>
      </c>
      <c r="M19" s="1"/>
      <c r="N19" s="5">
        <f t="shared" si="3"/>
        <v>0.67063191773002706</v>
      </c>
      <c r="O19" s="14"/>
      <c r="P19" s="1">
        <f>SUM(OSRRefP22_0x_0)</f>
        <v>8985.31</v>
      </c>
      <c r="Q19" s="1"/>
      <c r="R19" s="5">
        <f t="shared" si="4"/>
        <v>0</v>
      </c>
      <c r="S19" s="1"/>
      <c r="T19" s="1">
        <f>SUM(OSRRefT22_0x_0)</f>
        <v>5378.3899999999994</v>
      </c>
      <c r="U19" s="1"/>
      <c r="V19" s="5">
        <f t="shared" si="5"/>
        <v>0</v>
      </c>
      <c r="W19" s="1"/>
      <c r="X19" s="1">
        <f t="shared" si="6"/>
        <v>3606.92</v>
      </c>
      <c r="Y19" s="1"/>
      <c r="Z19" s="5">
        <f t="shared" si="7"/>
        <v>0.67063191773002706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1317.1</v>
      </c>
      <c r="E20" s="3"/>
      <c r="F20" s="7">
        <f t="shared" si="0"/>
        <v>0</v>
      </c>
      <c r="G20" s="3"/>
      <c r="H20" s="8">
        <v>1005.92</v>
      </c>
      <c r="I20" s="3"/>
      <c r="J20" s="7">
        <f t="shared" si="1"/>
        <v>0</v>
      </c>
      <c r="K20" s="3"/>
      <c r="L20" s="8">
        <f t="shared" si="2"/>
        <v>311.17999999999995</v>
      </c>
      <c r="M20" s="3"/>
      <c r="N20" s="7">
        <f t="shared" si="3"/>
        <v>0.30934865595673611</v>
      </c>
      <c r="O20" s="12"/>
      <c r="P20" s="8">
        <v>1317.1</v>
      </c>
      <c r="Q20" s="3"/>
      <c r="R20" s="7">
        <f t="shared" si="4"/>
        <v>0</v>
      </c>
      <c r="S20" s="3"/>
      <c r="T20" s="8">
        <v>1005.92</v>
      </c>
      <c r="U20" s="3"/>
      <c r="V20" s="7">
        <f t="shared" si="5"/>
        <v>0</v>
      </c>
      <c r="W20" s="3"/>
      <c r="X20" s="8">
        <f t="shared" si="6"/>
        <v>311.17999999999995</v>
      </c>
      <c r="Y20" s="3"/>
      <c r="Z20" s="7">
        <f t="shared" si="7"/>
        <v>0.30934865595673611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222.1</v>
      </c>
      <c r="E21" s="3"/>
      <c r="F21" s="7">
        <f t="shared" si="0"/>
        <v>0</v>
      </c>
      <c r="G21" s="3"/>
      <c r="H21" s="8">
        <v>125.76</v>
      </c>
      <c r="I21" s="3"/>
      <c r="J21" s="7">
        <f t="shared" si="1"/>
        <v>0</v>
      </c>
      <c r="K21" s="3"/>
      <c r="L21" s="8">
        <f t="shared" si="2"/>
        <v>96.339999999999989</v>
      </c>
      <c r="M21" s="3"/>
      <c r="N21" s="7">
        <f t="shared" si="3"/>
        <v>0.76606234096692105</v>
      </c>
      <c r="O21" s="12"/>
      <c r="P21" s="8">
        <v>222.1</v>
      </c>
      <c r="Q21" s="3"/>
      <c r="R21" s="7">
        <f t="shared" si="4"/>
        <v>0</v>
      </c>
      <c r="S21" s="3"/>
      <c r="T21" s="8">
        <v>125.76</v>
      </c>
      <c r="U21" s="3"/>
      <c r="V21" s="7">
        <f t="shared" si="5"/>
        <v>0</v>
      </c>
      <c r="W21" s="3"/>
      <c r="X21" s="8">
        <f t="shared" si="6"/>
        <v>96.339999999999989</v>
      </c>
      <c r="Y21" s="3"/>
      <c r="Z21" s="7">
        <f t="shared" si="7"/>
        <v>0.76606234096692105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3318.36</v>
      </c>
      <c r="E22" s="3"/>
      <c r="F22" s="7">
        <f t="shared" si="0"/>
        <v>0</v>
      </c>
      <c r="G22" s="3"/>
      <c r="H22" s="8">
        <v>816.72</v>
      </c>
      <c r="I22" s="3"/>
      <c r="J22" s="7">
        <f t="shared" si="1"/>
        <v>0</v>
      </c>
      <c r="K22" s="3"/>
      <c r="L22" s="8">
        <f t="shared" si="2"/>
        <v>2501.6400000000003</v>
      </c>
      <c r="M22" s="3"/>
      <c r="N22" s="7">
        <f t="shared" si="3"/>
        <v>3.0630326182779903</v>
      </c>
      <c r="O22" s="12"/>
      <c r="P22" s="8">
        <v>3318.36</v>
      </c>
      <c r="Q22" s="3"/>
      <c r="R22" s="7">
        <f t="shared" si="4"/>
        <v>0</v>
      </c>
      <c r="S22" s="3"/>
      <c r="T22" s="8">
        <v>816.72</v>
      </c>
      <c r="U22" s="3"/>
      <c r="V22" s="7">
        <f t="shared" si="5"/>
        <v>0</v>
      </c>
      <c r="W22" s="3"/>
      <c r="X22" s="8">
        <f t="shared" si="6"/>
        <v>2501.6400000000003</v>
      </c>
      <c r="Y22" s="3"/>
      <c r="Z22" s="7">
        <f t="shared" si="7"/>
        <v>3.0630326182779903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44.76</v>
      </c>
      <c r="E23" s="3"/>
      <c r="F23" s="7">
        <f t="shared" si="0"/>
        <v>0</v>
      </c>
      <c r="G23" s="3"/>
      <c r="H23" s="8">
        <v>34.19</v>
      </c>
      <c r="I23" s="3"/>
      <c r="J23" s="7">
        <f t="shared" si="1"/>
        <v>0</v>
      </c>
      <c r="K23" s="3"/>
      <c r="L23" s="8">
        <f t="shared" si="2"/>
        <v>10.57</v>
      </c>
      <c r="M23" s="3"/>
      <c r="N23" s="7">
        <f t="shared" si="3"/>
        <v>0.30915472360339286</v>
      </c>
      <c r="O23" s="12"/>
      <c r="P23" s="8">
        <v>44.76</v>
      </c>
      <c r="Q23" s="3"/>
      <c r="R23" s="7">
        <f t="shared" si="4"/>
        <v>0</v>
      </c>
      <c r="S23" s="3"/>
      <c r="T23" s="8">
        <v>34.19</v>
      </c>
      <c r="U23" s="3"/>
      <c r="V23" s="7">
        <f t="shared" si="5"/>
        <v>0</v>
      </c>
      <c r="W23" s="3"/>
      <c r="X23" s="8">
        <f t="shared" si="6"/>
        <v>10.57</v>
      </c>
      <c r="Y23" s="3"/>
      <c r="Z23" s="7">
        <f t="shared" si="7"/>
        <v>0.30915472360339286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1873.21</v>
      </c>
      <c r="E24" s="3"/>
      <c r="F24" s="7">
        <f t="shared" si="0"/>
        <v>0</v>
      </c>
      <c r="G24" s="3"/>
      <c r="H24" s="8">
        <v>1542.62</v>
      </c>
      <c r="I24" s="3"/>
      <c r="J24" s="7">
        <f t="shared" si="1"/>
        <v>0</v>
      </c>
      <c r="K24" s="3"/>
      <c r="L24" s="8">
        <f t="shared" si="2"/>
        <v>330.59000000000015</v>
      </c>
      <c r="M24" s="3"/>
      <c r="N24" s="7">
        <f t="shared" si="3"/>
        <v>0.21430423565103537</v>
      </c>
      <c r="O24" s="12"/>
      <c r="P24" s="8">
        <v>1873.21</v>
      </c>
      <c r="Q24" s="3"/>
      <c r="R24" s="7">
        <f t="shared" si="4"/>
        <v>0</v>
      </c>
      <c r="S24" s="3"/>
      <c r="T24" s="8">
        <v>1542.62</v>
      </c>
      <c r="U24" s="3"/>
      <c r="V24" s="7">
        <f t="shared" si="5"/>
        <v>0</v>
      </c>
      <c r="W24" s="3"/>
      <c r="X24" s="8">
        <f t="shared" si="6"/>
        <v>330.59000000000015</v>
      </c>
      <c r="Y24" s="3"/>
      <c r="Z24" s="7">
        <f t="shared" si="7"/>
        <v>0.21430423565103537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1518.94</v>
      </c>
      <c r="E25" s="3"/>
      <c r="F25" s="7">
        <f t="shared" si="0"/>
        <v>0</v>
      </c>
      <c r="G25" s="3"/>
      <c r="H25" s="8">
        <v>1214.6600000000001</v>
      </c>
      <c r="I25" s="3"/>
      <c r="J25" s="7">
        <f t="shared" si="1"/>
        <v>0</v>
      </c>
      <c r="K25" s="3"/>
      <c r="L25" s="8">
        <f t="shared" si="2"/>
        <v>304.27999999999997</v>
      </c>
      <c r="M25" s="3"/>
      <c r="N25" s="7">
        <f t="shared" si="3"/>
        <v>0.25050631452422895</v>
      </c>
      <c r="O25" s="12"/>
      <c r="P25" s="8">
        <v>1518.94</v>
      </c>
      <c r="Q25" s="3"/>
      <c r="R25" s="7">
        <f t="shared" si="4"/>
        <v>0</v>
      </c>
      <c r="S25" s="3"/>
      <c r="T25" s="8">
        <v>1214.6600000000001</v>
      </c>
      <c r="U25" s="3"/>
      <c r="V25" s="7">
        <f t="shared" si="5"/>
        <v>0</v>
      </c>
      <c r="W25" s="3"/>
      <c r="X25" s="8">
        <f t="shared" si="6"/>
        <v>304.27999999999997</v>
      </c>
      <c r="Y25" s="3"/>
      <c r="Z25" s="7">
        <f t="shared" si="7"/>
        <v>0.25050631452422895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510.58</v>
      </c>
      <c r="E26" s="3"/>
      <c r="F26" s="7">
        <f t="shared" si="0"/>
        <v>0</v>
      </c>
      <c r="G26" s="3"/>
      <c r="H26" s="8">
        <v>606.52</v>
      </c>
      <c r="I26" s="3"/>
      <c r="J26" s="7">
        <f t="shared" si="1"/>
        <v>0</v>
      </c>
      <c r="K26" s="3"/>
      <c r="L26" s="8">
        <f t="shared" si="2"/>
        <v>-95.94</v>
      </c>
      <c r="M26" s="3"/>
      <c r="N26" s="7">
        <f t="shared" si="3"/>
        <v>-0.15818109872716482</v>
      </c>
      <c r="O26" s="12"/>
      <c r="P26" s="8">
        <v>510.58</v>
      </c>
      <c r="Q26" s="3"/>
      <c r="R26" s="7">
        <f t="shared" si="4"/>
        <v>0</v>
      </c>
      <c r="S26" s="3"/>
      <c r="T26" s="8">
        <v>606.52</v>
      </c>
      <c r="U26" s="3"/>
      <c r="V26" s="7">
        <f t="shared" si="5"/>
        <v>0</v>
      </c>
      <c r="W26" s="3"/>
      <c r="X26" s="8">
        <f t="shared" si="6"/>
        <v>-95.94</v>
      </c>
      <c r="Y26" s="3"/>
      <c r="Z26" s="7">
        <f t="shared" si="7"/>
        <v>-0.15818109872716482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180.26</v>
      </c>
      <c r="E27" s="3"/>
      <c r="F27" s="7">
        <f t="shared" si="0"/>
        <v>0</v>
      </c>
      <c r="G27" s="3"/>
      <c r="H27" s="8">
        <v>32</v>
      </c>
      <c r="I27" s="3"/>
      <c r="J27" s="7">
        <f t="shared" si="1"/>
        <v>0</v>
      </c>
      <c r="K27" s="3"/>
      <c r="L27" s="8">
        <f t="shared" si="2"/>
        <v>148.26</v>
      </c>
      <c r="M27" s="3"/>
      <c r="N27" s="7">
        <f t="shared" si="3"/>
        <v>4.6331249999999997</v>
      </c>
      <c r="O27" s="12"/>
      <c r="P27" s="8">
        <v>180.26</v>
      </c>
      <c r="Q27" s="3"/>
      <c r="R27" s="7">
        <f t="shared" si="4"/>
        <v>0</v>
      </c>
      <c r="S27" s="3"/>
      <c r="T27" s="8">
        <v>32</v>
      </c>
      <c r="U27" s="3"/>
      <c r="V27" s="7">
        <f t="shared" si="5"/>
        <v>0</v>
      </c>
      <c r="W27" s="3"/>
      <c r="X27" s="8">
        <f t="shared" si="6"/>
        <v>148.26</v>
      </c>
      <c r="Y27" s="3"/>
      <c r="Z27" s="7">
        <f t="shared" si="7"/>
        <v>4.6331249999999997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21520.959999999999</v>
      </c>
      <c r="E28" s="1"/>
      <c r="F28" s="5">
        <f t="shared" ref="F28:F30" si="8">IF(D$12=0,0,D28/D$12)</f>
        <v>0</v>
      </c>
      <c r="G28" s="1"/>
      <c r="H28" s="1">
        <f>SUM(OSRRefH22_1x_0)</f>
        <v>13287.33</v>
      </c>
      <c r="I28" s="1"/>
      <c r="J28" s="5">
        <f t="shared" ref="J28:J30" si="9">IF(H$12=0,0,H28/H$12)</f>
        <v>0</v>
      </c>
      <c r="K28" s="1"/>
      <c r="L28" s="1">
        <f t="shared" ref="L28:L30" si="10">+D28-H28</f>
        <v>8233.6299999999992</v>
      </c>
      <c r="M28" s="1"/>
      <c r="N28" s="5">
        <f t="shared" ref="N28:N30" si="11">IF(H28=0,0,L28/H28)</f>
        <v>0.61966023271793502</v>
      </c>
      <c r="O28" s="14"/>
      <c r="P28" s="1">
        <f>SUM(OSRRefP22_1x_0)</f>
        <v>21520.959999999999</v>
      </c>
      <c r="Q28" s="1"/>
      <c r="R28" s="5">
        <f t="shared" ref="R28:R30" si="12">IF(P$12=0,0,P28/P$12)</f>
        <v>0</v>
      </c>
      <c r="S28" s="1"/>
      <c r="T28" s="1">
        <f>SUM(OSRRefT22_1x_0)</f>
        <v>13287.33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8233.6299999999992</v>
      </c>
      <c r="Y28" s="1"/>
      <c r="Z28" s="5">
        <f t="shared" ref="Z28:Z30" si="15">IF(T28=0,0,X28/T28)</f>
        <v>0.61966023271793502</v>
      </c>
    </row>
    <row r="29" spans="1:26" s="24" customFormat="1" hidden="1" outlineLevel="2" x14ac:dyDescent="0.3">
      <c r="A29" s="27"/>
      <c r="B29" s="12" t="str">
        <f>CONCATENATE("          ", "6001", " - ", "ADMINISTRATIVE SALARIES")</f>
        <v xml:space="preserve">          6001 - ADMINISTRATIVE SALARIES</v>
      </c>
      <c r="C29" s="12"/>
      <c r="D29" s="8">
        <v>13836.28</v>
      </c>
      <c r="E29" s="3"/>
      <c r="F29" s="7">
        <f t="shared" si="8"/>
        <v>0</v>
      </c>
      <c r="G29" s="3"/>
      <c r="H29" s="8">
        <v>11207.33</v>
      </c>
      <c r="I29" s="3"/>
      <c r="J29" s="7">
        <f t="shared" si="9"/>
        <v>0</v>
      </c>
      <c r="K29" s="3"/>
      <c r="L29" s="8">
        <f t="shared" si="10"/>
        <v>2628.9500000000007</v>
      </c>
      <c r="M29" s="3"/>
      <c r="N29" s="7">
        <f t="shared" si="11"/>
        <v>0.23457415816255975</v>
      </c>
      <c r="O29" s="12"/>
      <c r="P29" s="8">
        <v>13836.28</v>
      </c>
      <c r="Q29" s="3"/>
      <c r="R29" s="7">
        <f t="shared" si="12"/>
        <v>0</v>
      </c>
      <c r="S29" s="3"/>
      <c r="T29" s="8">
        <v>11207.33</v>
      </c>
      <c r="U29" s="3"/>
      <c r="V29" s="7">
        <f t="shared" si="13"/>
        <v>0</v>
      </c>
      <c r="W29" s="3"/>
      <c r="X29" s="8">
        <f t="shared" si="14"/>
        <v>2628.9500000000007</v>
      </c>
      <c r="Y29" s="3"/>
      <c r="Z29" s="7">
        <f t="shared" si="15"/>
        <v>0.23457415816255975</v>
      </c>
    </row>
    <row r="30" spans="1:26" s="24" customFormat="1" hidden="1" outlineLevel="2" x14ac:dyDescent="0.3">
      <c r="A30" s="27"/>
      <c r="B30" s="12" t="str">
        <f>CONCATENATE("          ", "6002", " - ", "STAFF SALARIES")</f>
        <v xml:space="preserve">          6002 - STAFF SALARIES</v>
      </c>
      <c r="C30" s="12"/>
      <c r="D30" s="8">
        <v>7684.68</v>
      </c>
      <c r="E30" s="3"/>
      <c r="F30" s="7">
        <f t="shared" si="8"/>
        <v>0</v>
      </c>
      <c r="G30" s="3"/>
      <c r="H30" s="8">
        <v>2080</v>
      </c>
      <c r="I30" s="3"/>
      <c r="J30" s="7">
        <f t="shared" si="9"/>
        <v>0</v>
      </c>
      <c r="K30" s="3"/>
      <c r="L30" s="8">
        <f t="shared" si="10"/>
        <v>5604.68</v>
      </c>
      <c r="M30" s="3"/>
      <c r="N30" s="7">
        <f t="shared" si="11"/>
        <v>2.6945576923076926</v>
      </c>
      <c r="O30" s="12"/>
      <c r="P30" s="8">
        <v>7684.68</v>
      </c>
      <c r="Q30" s="3"/>
      <c r="R30" s="7">
        <f t="shared" si="12"/>
        <v>0</v>
      </c>
      <c r="S30" s="3"/>
      <c r="T30" s="8">
        <v>2080</v>
      </c>
      <c r="U30" s="3"/>
      <c r="V30" s="7">
        <f t="shared" si="13"/>
        <v>0</v>
      </c>
      <c r="W30" s="3"/>
      <c r="X30" s="8">
        <f t="shared" si="14"/>
        <v>5604.68</v>
      </c>
      <c r="Y30" s="3"/>
      <c r="Z30" s="7">
        <f t="shared" si="15"/>
        <v>2.6945576923076926</v>
      </c>
    </row>
    <row r="31" spans="1:26" s="29" customFormat="1" outlineLevel="1" collapsed="1" x14ac:dyDescent="0.3">
      <c r="A31" s="28"/>
      <c r="B31" s="14" t="str">
        <f>CONCATENATE("     ","Bank/card Fees                                    ")</f>
        <v xml:space="preserve">     Bank/card Fees                                    </v>
      </c>
      <c r="C31" s="14"/>
      <c r="D31" s="1">
        <f>SUM(OSRRefD22_2x_0)</f>
        <v>242.91</v>
      </c>
      <c r="E31" s="1"/>
      <c r="F31" s="5">
        <f t="shared" ref="F31:F35" si="16">IF(D$12=0,0,D31/D$12)</f>
        <v>0</v>
      </c>
      <c r="G31" s="1"/>
      <c r="H31" s="1">
        <f>SUM(OSRRefH22_2x_0)</f>
        <v>282.82</v>
      </c>
      <c r="I31" s="1"/>
      <c r="J31" s="5">
        <f t="shared" ref="J31:J35" si="17">IF(H$12=0,0,H31/H$12)</f>
        <v>0</v>
      </c>
      <c r="K31" s="1"/>
      <c r="L31" s="1">
        <f t="shared" ref="L31:L35" si="18">+D31-H31</f>
        <v>-39.909999999999997</v>
      </c>
      <c r="M31" s="1"/>
      <c r="N31" s="5">
        <f t="shared" ref="N31:N35" si="19">IF(H31=0,0,L31/H31)</f>
        <v>-0.14111448978148644</v>
      </c>
      <c r="O31" s="14"/>
      <c r="P31" s="1">
        <f>SUM(OSRRefP22_2x_0)</f>
        <v>242.91</v>
      </c>
      <c r="Q31" s="1"/>
      <c r="R31" s="5">
        <f t="shared" ref="R31:R35" si="20">IF(P$12=0,0,P31/P$12)</f>
        <v>0</v>
      </c>
      <c r="S31" s="1"/>
      <c r="T31" s="1">
        <f>SUM(OSRRefT22_2x_0)</f>
        <v>282.82</v>
      </c>
      <c r="U31" s="1"/>
      <c r="V31" s="5">
        <f t="shared" ref="V31:V35" si="21">IF(T$12=0,0,T31/T$12)</f>
        <v>0</v>
      </c>
      <c r="W31" s="1"/>
      <c r="X31" s="1">
        <f t="shared" ref="X31:X35" si="22">+P31-T31</f>
        <v>-39.909999999999997</v>
      </c>
      <c r="Y31" s="1"/>
      <c r="Z31" s="5">
        <f t="shared" ref="Z31:Z35" si="23">IF(T31=0,0,X31/T31)</f>
        <v>-0.14111448978148644</v>
      </c>
    </row>
    <row r="32" spans="1:26" s="24" customFormat="1" hidden="1" outlineLevel="2" x14ac:dyDescent="0.3">
      <c r="A32" s="27"/>
      <c r="B32" s="12" t="str">
        <f>CONCATENATE("          ", "6381", " - ", "BANK/CREDIT CARD FEES")</f>
        <v xml:space="preserve">          6381 - BANK/CREDIT CARD FEES</v>
      </c>
      <c r="C32" s="12"/>
      <c r="D32" s="8">
        <v>242.91</v>
      </c>
      <c r="E32" s="3"/>
      <c r="F32" s="7">
        <f t="shared" si="16"/>
        <v>0</v>
      </c>
      <c r="G32" s="3"/>
      <c r="H32" s="8">
        <v>282.82</v>
      </c>
      <c r="I32" s="3"/>
      <c r="J32" s="7">
        <f t="shared" si="17"/>
        <v>0</v>
      </c>
      <c r="K32" s="3"/>
      <c r="L32" s="8">
        <f t="shared" si="18"/>
        <v>-39.909999999999997</v>
      </c>
      <c r="M32" s="3"/>
      <c r="N32" s="7">
        <f t="shared" si="19"/>
        <v>-0.14111448978148644</v>
      </c>
      <c r="O32" s="12"/>
      <c r="P32" s="8">
        <v>242.91</v>
      </c>
      <c r="Q32" s="3"/>
      <c r="R32" s="7">
        <f t="shared" si="20"/>
        <v>0</v>
      </c>
      <c r="S32" s="3"/>
      <c r="T32" s="8">
        <v>282.82</v>
      </c>
      <c r="U32" s="3"/>
      <c r="V32" s="7">
        <f t="shared" si="21"/>
        <v>0</v>
      </c>
      <c r="W32" s="3"/>
      <c r="X32" s="8">
        <f t="shared" si="22"/>
        <v>-39.909999999999997</v>
      </c>
      <c r="Y32" s="3"/>
      <c r="Z32" s="7">
        <f t="shared" si="23"/>
        <v>-0.14111448978148644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5331.53</v>
      </c>
      <c r="E33" s="1"/>
      <c r="F33" s="5">
        <f t="shared" si="16"/>
        <v>0</v>
      </c>
      <c r="G33" s="1"/>
      <c r="H33" s="1">
        <f>SUM(OSRRefH22_3x_0)</f>
        <v>7041.26</v>
      </c>
      <c r="I33" s="1"/>
      <c r="J33" s="5">
        <f t="shared" si="17"/>
        <v>0</v>
      </c>
      <c r="K33" s="1"/>
      <c r="L33" s="1">
        <f t="shared" si="18"/>
        <v>-1709.7300000000005</v>
      </c>
      <c r="M33" s="1"/>
      <c r="N33" s="5">
        <f t="shared" si="19"/>
        <v>-0.24281591646949557</v>
      </c>
      <c r="O33" s="14"/>
      <c r="P33" s="1">
        <f>SUM(OSRRefP22_3x_0)</f>
        <v>5331.53</v>
      </c>
      <c r="Q33" s="1"/>
      <c r="R33" s="5">
        <f t="shared" si="20"/>
        <v>0</v>
      </c>
      <c r="S33" s="1"/>
      <c r="T33" s="1">
        <f>SUM(OSRRefT22_3x_0)</f>
        <v>7041.26</v>
      </c>
      <c r="U33" s="1"/>
      <c r="V33" s="5">
        <f t="shared" si="21"/>
        <v>0</v>
      </c>
      <c r="W33" s="1"/>
      <c r="X33" s="1">
        <f t="shared" si="22"/>
        <v>-1709.7300000000005</v>
      </c>
      <c r="Y33" s="1"/>
      <c r="Z33" s="5">
        <f t="shared" si="23"/>
        <v>-0.24281591646949557</v>
      </c>
    </row>
    <row r="34" spans="1:26" s="24" customFormat="1" hidden="1" outlineLevel="2" x14ac:dyDescent="0.3">
      <c r="A34" s="27"/>
      <c r="B34" s="12" t="str">
        <f>CONCATENATE("          ", "6321", " - ", "BUILDING DEPRECIATION")</f>
        <v xml:space="preserve">          6321 - BUILDING DEPRECIATION</v>
      </c>
      <c r="C34" s="12"/>
      <c r="D34" s="8">
        <v>1822.68</v>
      </c>
      <c r="E34" s="3"/>
      <c r="F34" s="7">
        <f t="shared" si="16"/>
        <v>0</v>
      </c>
      <c r="G34" s="3"/>
      <c r="H34" s="8">
        <v>2084.08</v>
      </c>
      <c r="I34" s="3"/>
      <c r="J34" s="7">
        <f t="shared" si="17"/>
        <v>0</v>
      </c>
      <c r="K34" s="3"/>
      <c r="L34" s="8">
        <f t="shared" si="18"/>
        <v>-261.39999999999986</v>
      </c>
      <c r="M34" s="3"/>
      <c r="N34" s="7">
        <f t="shared" si="19"/>
        <v>-0.12542704694637435</v>
      </c>
      <c r="O34" s="12"/>
      <c r="P34" s="8">
        <v>1822.68</v>
      </c>
      <c r="Q34" s="3"/>
      <c r="R34" s="7">
        <f t="shared" si="20"/>
        <v>0</v>
      </c>
      <c r="S34" s="3"/>
      <c r="T34" s="8">
        <v>2084.08</v>
      </c>
      <c r="U34" s="3"/>
      <c r="V34" s="7">
        <f t="shared" si="21"/>
        <v>0</v>
      </c>
      <c r="W34" s="3"/>
      <c r="X34" s="8">
        <f t="shared" si="22"/>
        <v>-261.39999999999986</v>
      </c>
      <c r="Y34" s="3"/>
      <c r="Z34" s="7">
        <f t="shared" si="23"/>
        <v>-0.12542704694637435</v>
      </c>
    </row>
    <row r="35" spans="1:26" s="24" customFormat="1" hidden="1" outlineLevel="2" x14ac:dyDescent="0.3">
      <c r="A35" s="27"/>
      <c r="B35" s="12" t="str">
        <f>CONCATENATE("          ", "6322", " - ", "EQUIPMENT DEPRECIATION EXPENSE")</f>
        <v xml:space="preserve">          6322 - EQUIPMENT DEPRECIATION EXPENSE</v>
      </c>
      <c r="C35" s="12"/>
      <c r="D35" s="8">
        <v>3508.85</v>
      </c>
      <c r="E35" s="3"/>
      <c r="F35" s="7">
        <f t="shared" si="16"/>
        <v>0</v>
      </c>
      <c r="G35" s="3"/>
      <c r="H35" s="8">
        <v>4957.18</v>
      </c>
      <c r="I35" s="3"/>
      <c r="J35" s="7">
        <f t="shared" si="17"/>
        <v>0</v>
      </c>
      <c r="K35" s="3"/>
      <c r="L35" s="8">
        <f t="shared" si="18"/>
        <v>-1448.3300000000004</v>
      </c>
      <c r="M35" s="3"/>
      <c r="N35" s="7">
        <f t="shared" si="19"/>
        <v>-0.29216812784688073</v>
      </c>
      <c r="O35" s="12"/>
      <c r="P35" s="8">
        <v>3508.85</v>
      </c>
      <c r="Q35" s="3"/>
      <c r="R35" s="7">
        <f t="shared" si="20"/>
        <v>0</v>
      </c>
      <c r="S35" s="3"/>
      <c r="T35" s="8">
        <v>4957.18</v>
      </c>
      <c r="U35" s="3"/>
      <c r="V35" s="7">
        <f t="shared" si="21"/>
        <v>0</v>
      </c>
      <c r="W35" s="3"/>
      <c r="X35" s="8">
        <f t="shared" si="22"/>
        <v>-1448.3300000000004</v>
      </c>
      <c r="Y35" s="3"/>
      <c r="Z35" s="7">
        <f t="shared" si="23"/>
        <v>-0.29216812784688073</v>
      </c>
    </row>
    <row r="36" spans="1:26" s="29" customFormat="1" outlineLevel="1" collapsed="1" x14ac:dyDescent="0.3">
      <c r="A36" s="28"/>
      <c r="B36" s="14" t="str">
        <f>CONCATENATE("     ","Equipment Rental                                  ")</f>
        <v xml:space="preserve">     Equipment Rental                                  </v>
      </c>
      <c r="C36" s="14"/>
      <c r="D36" s="1">
        <f>SUM(OSRRefD22_4x_0)</f>
        <v>91.26</v>
      </c>
      <c r="E36" s="1"/>
      <c r="F36" s="5">
        <f t="shared" ref="F36:F44" si="24">IF(D$12=0,0,D36/D$12)</f>
        <v>0</v>
      </c>
      <c r="G36" s="1"/>
      <c r="H36" s="1">
        <f>SUM(OSRRefH22_4x_0)</f>
        <v>419.36</v>
      </c>
      <c r="I36" s="1"/>
      <c r="J36" s="5">
        <f t="shared" ref="J36:J44" si="25">IF(H$12=0,0,H36/H$12)</f>
        <v>0</v>
      </c>
      <c r="K36" s="1"/>
      <c r="L36" s="1">
        <f t="shared" ref="L36:L44" si="26">+D36-H36</f>
        <v>-328.1</v>
      </c>
      <c r="M36" s="1"/>
      <c r="N36" s="5">
        <f t="shared" ref="N36:N44" si="27">IF(H36=0,0,L36/H36)</f>
        <v>-0.78238267836703557</v>
      </c>
      <c r="O36" s="14"/>
      <c r="P36" s="1">
        <f>SUM(OSRRefP22_4x_0)</f>
        <v>91.26</v>
      </c>
      <c r="Q36" s="1"/>
      <c r="R36" s="5">
        <f t="shared" ref="R36:R44" si="28">IF(P$12=0,0,P36/P$12)</f>
        <v>0</v>
      </c>
      <c r="S36" s="1"/>
      <c r="T36" s="1">
        <f>SUM(OSRRefT22_4x_0)</f>
        <v>419.36</v>
      </c>
      <c r="U36" s="1"/>
      <c r="V36" s="5">
        <f t="shared" ref="V36:V44" si="29">IF(T$12=0,0,T36/T$12)</f>
        <v>0</v>
      </c>
      <c r="W36" s="1"/>
      <c r="X36" s="1">
        <f t="shared" ref="X36:X44" si="30">+P36-T36</f>
        <v>-328.1</v>
      </c>
      <c r="Y36" s="1"/>
      <c r="Z36" s="5">
        <f t="shared" ref="Z36:Z44" si="31">IF(T36=0,0,X36/T36)</f>
        <v>-0.78238267836703557</v>
      </c>
    </row>
    <row r="37" spans="1:26" s="24" customFormat="1" hidden="1" outlineLevel="2" x14ac:dyDescent="0.3">
      <c r="A37" s="27"/>
      <c r="B37" s="12" t="str">
        <f>CONCATENATE("          ", "6351", " - ", "EQUIPMENT RENTAL")</f>
        <v xml:space="preserve">          6351 - EQUIPMENT RENTAL</v>
      </c>
      <c r="C37" s="12"/>
      <c r="D37" s="8">
        <v>91.26</v>
      </c>
      <c r="E37" s="3"/>
      <c r="F37" s="7">
        <f t="shared" si="24"/>
        <v>0</v>
      </c>
      <c r="G37" s="3"/>
      <c r="H37" s="8">
        <v>419.36</v>
      </c>
      <c r="I37" s="3"/>
      <c r="J37" s="7">
        <f t="shared" si="25"/>
        <v>0</v>
      </c>
      <c r="K37" s="3"/>
      <c r="L37" s="8">
        <f t="shared" si="26"/>
        <v>-328.1</v>
      </c>
      <c r="M37" s="3"/>
      <c r="N37" s="7">
        <f t="shared" si="27"/>
        <v>-0.78238267836703557</v>
      </c>
      <c r="O37" s="12"/>
      <c r="P37" s="8">
        <v>91.26</v>
      </c>
      <c r="Q37" s="3"/>
      <c r="R37" s="7">
        <f t="shared" si="28"/>
        <v>0</v>
      </c>
      <c r="S37" s="3"/>
      <c r="T37" s="8">
        <v>419.36</v>
      </c>
      <c r="U37" s="3"/>
      <c r="V37" s="7">
        <f t="shared" si="29"/>
        <v>0</v>
      </c>
      <c r="W37" s="3"/>
      <c r="X37" s="8">
        <f t="shared" si="30"/>
        <v>-328.1</v>
      </c>
      <c r="Y37" s="3"/>
      <c r="Z37" s="7">
        <f t="shared" si="31"/>
        <v>-0.78238267836703557</v>
      </c>
    </row>
    <row r="38" spans="1:26" s="29" customFormat="1" outlineLevel="1" collapsed="1" x14ac:dyDescent="0.3">
      <c r="A38" s="28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SUM(OSRRefD22_5x_0)</f>
        <v>122.51</v>
      </c>
      <c r="E38" s="1"/>
      <c r="F38" s="5">
        <f t="shared" si="24"/>
        <v>0</v>
      </c>
      <c r="G38" s="1"/>
      <c r="H38" s="1">
        <f>SUM(OSRRefH22_5x_0)</f>
        <v>0</v>
      </c>
      <c r="I38" s="1"/>
      <c r="J38" s="5">
        <f t="shared" si="25"/>
        <v>0</v>
      </c>
      <c r="K38" s="1"/>
      <c r="L38" s="1">
        <f t="shared" si="26"/>
        <v>122.51</v>
      </c>
      <c r="M38" s="1"/>
      <c r="N38" s="5">
        <f t="shared" si="27"/>
        <v>0</v>
      </c>
      <c r="O38" s="14"/>
      <c r="P38" s="1">
        <f>SUM(OSRRefP22_5x_0)</f>
        <v>122.51</v>
      </c>
      <c r="Q38" s="1"/>
      <c r="R38" s="5">
        <f t="shared" si="28"/>
        <v>0</v>
      </c>
      <c r="S38" s="1"/>
      <c r="T38" s="1">
        <f>SUM(OSRRefT22_5x_0)</f>
        <v>0</v>
      </c>
      <c r="U38" s="1"/>
      <c r="V38" s="5">
        <f t="shared" si="29"/>
        <v>0</v>
      </c>
      <c r="W38" s="1"/>
      <c r="X38" s="1">
        <f t="shared" si="30"/>
        <v>122.51</v>
      </c>
      <c r="Y38" s="1"/>
      <c r="Z38" s="5">
        <f t="shared" si="31"/>
        <v>0</v>
      </c>
    </row>
    <row r="39" spans="1:26" s="24" customFormat="1" hidden="1" outlineLevel="2" x14ac:dyDescent="0.3">
      <c r="A39" s="27"/>
      <c r="B39" s="12" t="str">
        <f>CONCATENATE("          ", "6279", " - ", "GENERAL EXPENSE")</f>
        <v xml:space="preserve">          6279 - GENERAL EXPENSE</v>
      </c>
      <c r="C39" s="12"/>
      <c r="D39" s="8">
        <v>122.51</v>
      </c>
      <c r="E39" s="3"/>
      <c r="F39" s="7">
        <f t="shared" si="24"/>
        <v>0</v>
      </c>
      <c r="G39" s="3"/>
      <c r="H39" s="8"/>
      <c r="I39" s="3"/>
      <c r="J39" s="7">
        <f t="shared" si="25"/>
        <v>0</v>
      </c>
      <c r="K39" s="3"/>
      <c r="L39" s="8">
        <f t="shared" si="26"/>
        <v>122.51</v>
      </c>
      <c r="M39" s="3"/>
      <c r="N39" s="7">
        <f t="shared" si="27"/>
        <v>0</v>
      </c>
      <c r="O39" s="12"/>
      <c r="P39" s="8">
        <v>122.51</v>
      </c>
      <c r="Q39" s="3"/>
      <c r="R39" s="7">
        <f t="shared" si="28"/>
        <v>0</v>
      </c>
      <c r="S39" s="3"/>
      <c r="T39" s="8"/>
      <c r="U39" s="3"/>
      <c r="V39" s="7">
        <f t="shared" si="29"/>
        <v>0</v>
      </c>
      <c r="W39" s="3"/>
      <c r="X39" s="8">
        <f t="shared" si="30"/>
        <v>122.51</v>
      </c>
      <c r="Y39" s="3"/>
      <c r="Z39" s="7">
        <f t="shared" si="31"/>
        <v>0</v>
      </c>
    </row>
    <row r="40" spans="1:26" s="29" customFormat="1" outlineLevel="1" collapsed="1" x14ac:dyDescent="0.3">
      <c r="A40" s="28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SUM(OSRRefD22_6x_0)</f>
        <v>4884.6000000000004</v>
      </c>
      <c r="E40" s="1"/>
      <c r="F40" s="5">
        <f t="shared" si="24"/>
        <v>0</v>
      </c>
      <c r="G40" s="1"/>
      <c r="H40" s="1">
        <f>SUM(OSRRefH22_6x_0)</f>
        <v>3598.85</v>
      </c>
      <c r="I40" s="1"/>
      <c r="J40" s="5">
        <f t="shared" si="25"/>
        <v>0</v>
      </c>
      <c r="K40" s="1"/>
      <c r="L40" s="1">
        <f t="shared" si="26"/>
        <v>1285.7500000000005</v>
      </c>
      <c r="M40" s="1"/>
      <c r="N40" s="5">
        <f t="shared" si="27"/>
        <v>0.35726690470567002</v>
      </c>
      <c r="O40" s="14"/>
      <c r="P40" s="1">
        <f>SUM(OSRRefP22_6x_0)</f>
        <v>4884.6000000000004</v>
      </c>
      <c r="Q40" s="1"/>
      <c r="R40" s="5">
        <f t="shared" si="28"/>
        <v>0</v>
      </c>
      <c r="S40" s="1"/>
      <c r="T40" s="1">
        <f>SUM(OSRRefT22_6x_0)</f>
        <v>3598.85</v>
      </c>
      <c r="U40" s="1"/>
      <c r="V40" s="5">
        <f t="shared" si="29"/>
        <v>0</v>
      </c>
      <c r="W40" s="1"/>
      <c r="X40" s="1">
        <f t="shared" si="30"/>
        <v>1285.7500000000005</v>
      </c>
      <c r="Y40" s="1"/>
      <c r="Z40" s="5">
        <f t="shared" si="31"/>
        <v>0.35726690470567002</v>
      </c>
    </row>
    <row r="41" spans="1:26" s="24" customFormat="1" hidden="1" outlineLevel="2" x14ac:dyDescent="0.3">
      <c r="A41" s="27"/>
      <c r="B41" s="12" t="str">
        <f>CONCATENATE("          ", "6314", " - ", "LIABILITY INSURANCE")</f>
        <v xml:space="preserve">          6314 - LIABILITY INSURANCE</v>
      </c>
      <c r="C41" s="12"/>
      <c r="D41" s="8">
        <v>4884.6000000000004</v>
      </c>
      <c r="E41" s="3"/>
      <c r="F41" s="7">
        <f t="shared" si="24"/>
        <v>0</v>
      </c>
      <c r="G41" s="3"/>
      <c r="H41" s="8">
        <v>3598.85</v>
      </c>
      <c r="I41" s="3"/>
      <c r="J41" s="7">
        <f t="shared" si="25"/>
        <v>0</v>
      </c>
      <c r="K41" s="3"/>
      <c r="L41" s="8">
        <f t="shared" si="26"/>
        <v>1285.7500000000005</v>
      </c>
      <c r="M41" s="3"/>
      <c r="N41" s="7">
        <f t="shared" si="27"/>
        <v>0.35726690470567002</v>
      </c>
      <c r="O41" s="12"/>
      <c r="P41" s="8">
        <v>4884.6000000000004</v>
      </c>
      <c r="Q41" s="3"/>
      <c r="R41" s="7">
        <f t="shared" si="28"/>
        <v>0</v>
      </c>
      <c r="S41" s="3"/>
      <c r="T41" s="8">
        <v>3598.85</v>
      </c>
      <c r="U41" s="3"/>
      <c r="V41" s="7">
        <f t="shared" si="29"/>
        <v>0</v>
      </c>
      <c r="W41" s="3"/>
      <c r="X41" s="8">
        <f t="shared" si="30"/>
        <v>1285.7500000000005</v>
      </c>
      <c r="Y41" s="3"/>
      <c r="Z41" s="7">
        <f t="shared" si="31"/>
        <v>0.35726690470567002</v>
      </c>
    </row>
    <row r="42" spans="1:26" s="29" customFormat="1" outlineLevel="1" collapsed="1" x14ac:dyDescent="0.3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SUM(OSRRefD22_7x_0)</f>
        <v>877.46</v>
      </c>
      <c r="E42" s="1"/>
      <c r="F42" s="5">
        <f t="shared" si="24"/>
        <v>0</v>
      </c>
      <c r="G42" s="1"/>
      <c r="H42" s="1">
        <f>SUM(OSRRefH22_7x_0)</f>
        <v>38.51</v>
      </c>
      <c r="I42" s="1"/>
      <c r="J42" s="5">
        <f t="shared" si="25"/>
        <v>0</v>
      </c>
      <c r="K42" s="1"/>
      <c r="L42" s="1">
        <f t="shared" si="26"/>
        <v>838.95</v>
      </c>
      <c r="M42" s="1"/>
      <c r="N42" s="5">
        <f t="shared" si="27"/>
        <v>21.785250584263832</v>
      </c>
      <c r="O42" s="14"/>
      <c r="P42" s="1">
        <f>SUM(OSRRefP22_7x_0)</f>
        <v>877.46</v>
      </c>
      <c r="Q42" s="1"/>
      <c r="R42" s="5">
        <f t="shared" si="28"/>
        <v>0</v>
      </c>
      <c r="S42" s="1"/>
      <c r="T42" s="1">
        <f>SUM(OSRRefT22_7x_0)</f>
        <v>38.51</v>
      </c>
      <c r="U42" s="1"/>
      <c r="V42" s="5">
        <f t="shared" si="29"/>
        <v>0</v>
      </c>
      <c r="W42" s="1"/>
      <c r="X42" s="1">
        <f t="shared" si="30"/>
        <v>838.95</v>
      </c>
      <c r="Y42" s="1"/>
      <c r="Z42" s="5">
        <f t="shared" si="31"/>
        <v>21.785250584263832</v>
      </c>
    </row>
    <row r="43" spans="1:26" s="24" customFormat="1" hidden="1" outlineLevel="2" x14ac:dyDescent="0.3">
      <c r="A43" s="27"/>
      <c r="B43" s="12" t="str">
        <f>CONCATENATE("          ", "6373", " - ", "MAINTENANCE CONTRACTS")</f>
        <v xml:space="preserve">          6373 - MAINTENANCE CONTRACTS</v>
      </c>
      <c r="C43" s="12"/>
      <c r="D43" s="8">
        <v>0.87</v>
      </c>
      <c r="E43" s="3"/>
      <c r="F43" s="7">
        <f t="shared" si="24"/>
        <v>0</v>
      </c>
      <c r="G43" s="3"/>
      <c r="H43" s="8">
        <v>1.05</v>
      </c>
      <c r="I43" s="3"/>
      <c r="J43" s="7">
        <f t="shared" si="25"/>
        <v>0</v>
      </c>
      <c r="K43" s="3"/>
      <c r="L43" s="8">
        <f t="shared" si="26"/>
        <v>-0.18000000000000005</v>
      </c>
      <c r="M43" s="3"/>
      <c r="N43" s="7">
        <f t="shared" si="27"/>
        <v>-0.17142857142857146</v>
      </c>
      <c r="O43" s="12"/>
      <c r="P43" s="8">
        <v>0.87</v>
      </c>
      <c r="Q43" s="3"/>
      <c r="R43" s="7">
        <f t="shared" si="28"/>
        <v>0</v>
      </c>
      <c r="S43" s="3"/>
      <c r="T43" s="8">
        <v>1.05</v>
      </c>
      <c r="U43" s="3"/>
      <c r="V43" s="7">
        <f t="shared" si="29"/>
        <v>0</v>
      </c>
      <c r="W43" s="3"/>
      <c r="X43" s="8">
        <f t="shared" si="30"/>
        <v>-0.18000000000000005</v>
      </c>
      <c r="Y43" s="3"/>
      <c r="Z43" s="7">
        <f t="shared" si="31"/>
        <v>-0.17142857142857146</v>
      </c>
    </row>
    <row r="44" spans="1:26" s="24" customFormat="1" hidden="1" outlineLevel="2" x14ac:dyDescent="0.3">
      <c r="A44" s="27"/>
      <c r="B44" s="12" t="str">
        <f>CONCATENATE("          ", "6375", " - ", "OUTSIDE REPAIRS &amp; MAINTENANCE")</f>
        <v xml:space="preserve">          6375 - OUTSIDE REPAIRS &amp; MAINTENANCE</v>
      </c>
      <c r="C44" s="12"/>
      <c r="D44" s="8">
        <v>876.59</v>
      </c>
      <c r="E44" s="3"/>
      <c r="F44" s="7">
        <f t="shared" si="24"/>
        <v>0</v>
      </c>
      <c r="G44" s="3"/>
      <c r="H44" s="8">
        <v>37.46</v>
      </c>
      <c r="I44" s="3"/>
      <c r="J44" s="7">
        <f t="shared" si="25"/>
        <v>0</v>
      </c>
      <c r="K44" s="3"/>
      <c r="L44" s="8">
        <f t="shared" si="26"/>
        <v>839.13</v>
      </c>
      <c r="M44" s="3"/>
      <c r="N44" s="7">
        <f t="shared" si="27"/>
        <v>22.40069407367859</v>
      </c>
      <c r="O44" s="12"/>
      <c r="P44" s="8">
        <v>876.59</v>
      </c>
      <c r="Q44" s="3"/>
      <c r="R44" s="7">
        <f t="shared" si="28"/>
        <v>0</v>
      </c>
      <c r="S44" s="3"/>
      <c r="T44" s="8">
        <v>37.46</v>
      </c>
      <c r="U44" s="3"/>
      <c r="V44" s="7">
        <f t="shared" si="29"/>
        <v>0</v>
      </c>
      <c r="W44" s="3"/>
      <c r="X44" s="8">
        <f t="shared" si="30"/>
        <v>839.13</v>
      </c>
      <c r="Y44" s="3"/>
      <c r="Z44" s="7">
        <f t="shared" si="31"/>
        <v>22.40069407367859</v>
      </c>
    </row>
    <row r="45" spans="1:26" s="29" customFormat="1" outlineLevel="1" collapsed="1" x14ac:dyDescent="0.3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SUM(OSRRefD22_8x_0)</f>
        <v>670.1</v>
      </c>
      <c r="E45" s="1"/>
      <c r="F45" s="5">
        <f t="shared" ref="F45:F54" si="32">IF(D$12=0,0,D45/D$12)</f>
        <v>0</v>
      </c>
      <c r="G45" s="1"/>
      <c r="H45" s="1">
        <f>SUM(OSRRefH22_8x_0)</f>
        <v>0</v>
      </c>
      <c r="I45" s="1"/>
      <c r="J45" s="5">
        <f t="shared" ref="J45:J54" si="33">IF(H$12=0,0,H45/H$12)</f>
        <v>0</v>
      </c>
      <c r="K45" s="1"/>
      <c r="L45" s="1">
        <f t="shared" ref="L45:L54" si="34">+D45-H45</f>
        <v>670.1</v>
      </c>
      <c r="M45" s="1"/>
      <c r="N45" s="5">
        <f t="shared" ref="N45:N54" si="35">IF(H45=0,0,L45/H45)</f>
        <v>0</v>
      </c>
      <c r="O45" s="14"/>
      <c r="P45" s="1">
        <f>SUM(OSRRefP22_8x_0)</f>
        <v>670.1</v>
      </c>
      <c r="Q45" s="1"/>
      <c r="R45" s="5">
        <f t="shared" ref="R45:R54" si="36">IF(P$12=0,0,P45/P$12)</f>
        <v>0</v>
      </c>
      <c r="S45" s="1"/>
      <c r="T45" s="1">
        <f>SUM(OSRRefT22_8x_0)</f>
        <v>0</v>
      </c>
      <c r="U45" s="1"/>
      <c r="V45" s="5">
        <f t="shared" ref="V45:V54" si="37">IF(T$12=0,0,T45/T$12)</f>
        <v>0</v>
      </c>
      <c r="W45" s="1"/>
      <c r="X45" s="1">
        <f t="shared" ref="X45:X54" si="38">+P45-T45</f>
        <v>670.1</v>
      </c>
      <c r="Y45" s="1"/>
      <c r="Z45" s="5">
        <f t="shared" ref="Z45:Z54" si="39">IF(T45=0,0,X45/T45)</f>
        <v>0</v>
      </c>
    </row>
    <row r="46" spans="1:26" s="24" customFormat="1" hidden="1" outlineLevel="2" x14ac:dyDescent="0.3">
      <c r="A46" s="27"/>
      <c r="B46" s="12" t="str">
        <f>CONCATENATE("          ", "6282", " - ", "JANITORIAL/EXTERMINATOR EXPENS")</f>
        <v xml:space="preserve">          6282 - JANITORIAL/EXTERMINATOR EXPENS</v>
      </c>
      <c r="C46" s="12"/>
      <c r="D46" s="8">
        <v>670.1</v>
      </c>
      <c r="E46" s="3"/>
      <c r="F46" s="7">
        <f t="shared" si="32"/>
        <v>0</v>
      </c>
      <c r="G46" s="3"/>
      <c r="H46" s="8"/>
      <c r="I46" s="3"/>
      <c r="J46" s="7">
        <f t="shared" si="33"/>
        <v>0</v>
      </c>
      <c r="K46" s="3"/>
      <c r="L46" s="8">
        <f t="shared" si="34"/>
        <v>670.1</v>
      </c>
      <c r="M46" s="3"/>
      <c r="N46" s="7">
        <f t="shared" si="35"/>
        <v>0</v>
      </c>
      <c r="O46" s="12"/>
      <c r="P46" s="8">
        <v>670.1</v>
      </c>
      <c r="Q46" s="3"/>
      <c r="R46" s="7">
        <f t="shared" si="36"/>
        <v>0</v>
      </c>
      <c r="S46" s="3"/>
      <c r="T46" s="8"/>
      <c r="U46" s="3"/>
      <c r="V46" s="7">
        <f t="shared" si="37"/>
        <v>0</v>
      </c>
      <c r="W46" s="3"/>
      <c r="X46" s="8">
        <f t="shared" si="38"/>
        <v>670.1</v>
      </c>
      <c r="Y46" s="3"/>
      <c r="Z46" s="7">
        <f t="shared" si="39"/>
        <v>0</v>
      </c>
    </row>
    <row r="47" spans="1:26" s="29" customFormat="1" outlineLevel="1" collapsed="1" x14ac:dyDescent="0.3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SUM(OSRRefD22_9x_0)</f>
        <v>155.75</v>
      </c>
      <c r="E47" s="1"/>
      <c r="F47" s="5">
        <f t="shared" si="32"/>
        <v>0</v>
      </c>
      <c r="G47" s="1"/>
      <c r="H47" s="1">
        <f>SUM(OSRRefH22_9x_0)</f>
        <v>0</v>
      </c>
      <c r="I47" s="1"/>
      <c r="J47" s="5">
        <f t="shared" si="33"/>
        <v>0</v>
      </c>
      <c r="K47" s="1"/>
      <c r="L47" s="1">
        <f t="shared" si="34"/>
        <v>155.75</v>
      </c>
      <c r="M47" s="1"/>
      <c r="N47" s="5">
        <f t="shared" si="35"/>
        <v>0</v>
      </c>
      <c r="O47" s="14"/>
      <c r="P47" s="1">
        <f>SUM(OSRRefP22_9x_0)</f>
        <v>155.75</v>
      </c>
      <c r="Q47" s="1"/>
      <c r="R47" s="5">
        <f t="shared" si="36"/>
        <v>0</v>
      </c>
      <c r="S47" s="1"/>
      <c r="T47" s="1">
        <f>SUM(OSRRefT22_9x_0)</f>
        <v>0</v>
      </c>
      <c r="U47" s="1"/>
      <c r="V47" s="5">
        <f t="shared" si="37"/>
        <v>0</v>
      </c>
      <c r="W47" s="1"/>
      <c r="X47" s="1">
        <f t="shared" si="38"/>
        <v>155.75</v>
      </c>
      <c r="Y47" s="1"/>
      <c r="Z47" s="5">
        <f t="shared" si="39"/>
        <v>0</v>
      </c>
    </row>
    <row r="48" spans="1:26" s="24" customFormat="1" hidden="1" outlineLevel="2" x14ac:dyDescent="0.3">
      <c r="A48" s="27"/>
      <c r="B48" s="12" t="str">
        <f>CONCATENATE("          ", "6241", " - ", "OFFICE EXPENSE")</f>
        <v xml:space="preserve">          6241 - OFFICE EXPENSE</v>
      </c>
      <c r="C48" s="12"/>
      <c r="D48" s="8">
        <v>155.75</v>
      </c>
      <c r="E48" s="3"/>
      <c r="F48" s="7">
        <f t="shared" si="32"/>
        <v>0</v>
      </c>
      <c r="G48" s="3"/>
      <c r="H48" s="8"/>
      <c r="I48" s="3"/>
      <c r="J48" s="7">
        <f t="shared" si="33"/>
        <v>0</v>
      </c>
      <c r="K48" s="3"/>
      <c r="L48" s="8">
        <f t="shared" si="34"/>
        <v>155.75</v>
      </c>
      <c r="M48" s="3"/>
      <c r="N48" s="7">
        <f t="shared" si="35"/>
        <v>0</v>
      </c>
      <c r="O48" s="12"/>
      <c r="P48" s="8">
        <v>155.75</v>
      </c>
      <c r="Q48" s="3"/>
      <c r="R48" s="7">
        <f t="shared" si="36"/>
        <v>0</v>
      </c>
      <c r="S48" s="3"/>
      <c r="T48" s="8"/>
      <c r="U48" s="3"/>
      <c r="V48" s="7">
        <f t="shared" si="37"/>
        <v>0</v>
      </c>
      <c r="W48" s="3"/>
      <c r="X48" s="8">
        <f t="shared" si="38"/>
        <v>155.75</v>
      </c>
      <c r="Y48" s="3"/>
      <c r="Z48" s="7">
        <f t="shared" si="39"/>
        <v>0</v>
      </c>
    </row>
    <row r="49" spans="1:26" s="29" customFormat="1" outlineLevel="1" collapsed="1" x14ac:dyDescent="0.3">
      <c r="A49" s="28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SUM(OSRRefD22_10x_0)</f>
        <v>119.55</v>
      </c>
      <c r="E49" s="1"/>
      <c r="F49" s="5">
        <f t="shared" si="32"/>
        <v>0</v>
      </c>
      <c r="G49" s="1"/>
      <c r="H49" s="1">
        <f>SUM(OSRRefH22_10x_0)</f>
        <v>426</v>
      </c>
      <c r="I49" s="1"/>
      <c r="J49" s="5">
        <f t="shared" si="33"/>
        <v>0</v>
      </c>
      <c r="K49" s="1"/>
      <c r="L49" s="1">
        <f t="shared" si="34"/>
        <v>-306.45</v>
      </c>
      <c r="M49" s="1"/>
      <c r="N49" s="5">
        <f t="shared" si="35"/>
        <v>-0.71936619718309858</v>
      </c>
      <c r="O49" s="14"/>
      <c r="P49" s="1">
        <f>SUM(OSRRefP22_10x_0)</f>
        <v>119.55</v>
      </c>
      <c r="Q49" s="1"/>
      <c r="R49" s="5">
        <f t="shared" si="36"/>
        <v>0</v>
      </c>
      <c r="S49" s="1"/>
      <c r="T49" s="1">
        <f>SUM(OSRRefT22_10x_0)</f>
        <v>426</v>
      </c>
      <c r="U49" s="1"/>
      <c r="V49" s="5">
        <f t="shared" si="37"/>
        <v>0</v>
      </c>
      <c r="W49" s="1"/>
      <c r="X49" s="1">
        <f t="shared" si="38"/>
        <v>-306.45</v>
      </c>
      <c r="Y49" s="1"/>
      <c r="Z49" s="5">
        <f t="shared" si="39"/>
        <v>-0.71936619718309858</v>
      </c>
    </row>
    <row r="50" spans="1:26" s="24" customFormat="1" hidden="1" outlineLevel="2" x14ac:dyDescent="0.3">
      <c r="A50" s="27"/>
      <c r="B50" s="12" t="str">
        <f>CONCATENATE("          ", "6309", " - ", "TELEPHONE")</f>
        <v xml:space="preserve">          6309 - TELEPHONE</v>
      </c>
      <c r="C50" s="12"/>
      <c r="D50" s="8">
        <v>119.55</v>
      </c>
      <c r="E50" s="3"/>
      <c r="F50" s="7">
        <f t="shared" si="32"/>
        <v>0</v>
      </c>
      <c r="G50" s="3"/>
      <c r="H50" s="8">
        <v>426</v>
      </c>
      <c r="I50" s="3"/>
      <c r="J50" s="7">
        <f t="shared" si="33"/>
        <v>0</v>
      </c>
      <c r="K50" s="3"/>
      <c r="L50" s="8">
        <f t="shared" si="34"/>
        <v>-306.45</v>
      </c>
      <c r="M50" s="3"/>
      <c r="N50" s="7">
        <f t="shared" si="35"/>
        <v>-0.71936619718309858</v>
      </c>
      <c r="O50" s="12"/>
      <c r="P50" s="8">
        <v>119.55</v>
      </c>
      <c r="Q50" s="3"/>
      <c r="R50" s="7">
        <f t="shared" si="36"/>
        <v>0</v>
      </c>
      <c r="S50" s="3"/>
      <c r="T50" s="8">
        <v>426</v>
      </c>
      <c r="U50" s="3"/>
      <c r="V50" s="7">
        <f t="shared" si="37"/>
        <v>0</v>
      </c>
      <c r="W50" s="3"/>
      <c r="X50" s="8">
        <f t="shared" si="38"/>
        <v>-306.45</v>
      </c>
      <c r="Y50" s="3"/>
      <c r="Z50" s="7">
        <f t="shared" si="39"/>
        <v>-0.71936619718309858</v>
      </c>
    </row>
    <row r="51" spans="1:26" s="29" customFormat="1" outlineLevel="1" collapsed="1" x14ac:dyDescent="0.3">
      <c r="A51" s="28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SUM(OSRRefD22_11x_0)</f>
        <v>0</v>
      </c>
      <c r="E51" s="1"/>
      <c r="F51" s="5">
        <f t="shared" si="32"/>
        <v>0</v>
      </c>
      <c r="G51" s="1"/>
      <c r="H51" s="1">
        <f>SUM(OSRRefH22_11x_0)</f>
        <v>179.69</v>
      </c>
      <c r="I51" s="1"/>
      <c r="J51" s="5">
        <f t="shared" si="33"/>
        <v>0</v>
      </c>
      <c r="K51" s="1"/>
      <c r="L51" s="1">
        <f t="shared" si="34"/>
        <v>-179.69</v>
      </c>
      <c r="M51" s="1"/>
      <c r="N51" s="5">
        <f t="shared" si="35"/>
        <v>-1</v>
      </c>
      <c r="O51" s="14"/>
      <c r="P51" s="1">
        <f>SUM(OSRRefP22_11x_0)</f>
        <v>0</v>
      </c>
      <c r="Q51" s="1"/>
      <c r="R51" s="5">
        <f t="shared" si="36"/>
        <v>0</v>
      </c>
      <c r="S51" s="1"/>
      <c r="T51" s="1">
        <f>SUM(OSRRefT22_11x_0)</f>
        <v>179.69</v>
      </c>
      <c r="U51" s="1"/>
      <c r="V51" s="5">
        <f t="shared" si="37"/>
        <v>0</v>
      </c>
      <c r="W51" s="1"/>
      <c r="X51" s="1">
        <f t="shared" si="38"/>
        <v>-179.69</v>
      </c>
      <c r="Y51" s="1"/>
      <c r="Z51" s="5">
        <f t="shared" si="39"/>
        <v>-1</v>
      </c>
    </row>
    <row r="52" spans="1:26" s="24" customFormat="1" hidden="1" outlineLevel="2" x14ac:dyDescent="0.3">
      <c r="A52" s="27"/>
      <c r="B52" s="12" t="str">
        <f>CONCATENATE("          ", "6298", " - ", "VEHICLE MILEAGE")</f>
        <v xml:space="preserve">          6298 - VEHICLE MILEAGE</v>
      </c>
      <c r="C52" s="12"/>
      <c r="D52" s="8"/>
      <c r="E52" s="3"/>
      <c r="F52" s="7">
        <f t="shared" si="32"/>
        <v>0</v>
      </c>
      <c r="G52" s="3"/>
      <c r="H52" s="8">
        <v>179.69</v>
      </c>
      <c r="I52" s="3"/>
      <c r="J52" s="7">
        <f t="shared" si="33"/>
        <v>0</v>
      </c>
      <c r="K52" s="3"/>
      <c r="L52" s="8">
        <f t="shared" si="34"/>
        <v>-179.69</v>
      </c>
      <c r="M52" s="3"/>
      <c r="N52" s="7">
        <f t="shared" si="35"/>
        <v>-1</v>
      </c>
      <c r="O52" s="12"/>
      <c r="P52" s="8"/>
      <c r="Q52" s="3"/>
      <c r="R52" s="7">
        <f t="shared" si="36"/>
        <v>0</v>
      </c>
      <c r="S52" s="3"/>
      <c r="T52" s="8">
        <v>179.69</v>
      </c>
      <c r="U52" s="3"/>
      <c r="V52" s="7">
        <f t="shared" si="37"/>
        <v>0</v>
      </c>
      <c r="W52" s="3"/>
      <c r="X52" s="8">
        <f t="shared" si="38"/>
        <v>-179.69</v>
      </c>
      <c r="Y52" s="3"/>
      <c r="Z52" s="7">
        <f t="shared" si="39"/>
        <v>-1</v>
      </c>
    </row>
    <row r="53" spans="1:26" s="29" customFormat="1" outlineLevel="1" collapsed="1" x14ac:dyDescent="0.3">
      <c r="A53" s="28"/>
      <c r="B53" s="14" t="str">
        <f>CONCATENATE("     ","Utilities                                         ")</f>
        <v xml:space="preserve">     Utilities                                         </v>
      </c>
      <c r="C53" s="14"/>
      <c r="D53" s="1">
        <f>SUM(OSRRefD22_12x_0)</f>
        <v>5550</v>
      </c>
      <c r="E53" s="1"/>
      <c r="F53" s="5">
        <f t="shared" si="32"/>
        <v>0</v>
      </c>
      <c r="G53" s="1"/>
      <c r="H53" s="1">
        <f>SUM(OSRRefH22_12x_0)</f>
        <v>0</v>
      </c>
      <c r="I53" s="1"/>
      <c r="J53" s="5">
        <f t="shared" si="33"/>
        <v>0</v>
      </c>
      <c r="K53" s="1"/>
      <c r="L53" s="1">
        <f t="shared" si="34"/>
        <v>5550</v>
      </c>
      <c r="M53" s="1"/>
      <c r="N53" s="5">
        <f t="shared" si="35"/>
        <v>0</v>
      </c>
      <c r="O53" s="14"/>
      <c r="P53" s="1">
        <f>SUM(OSRRefP22_12x_0)</f>
        <v>5550</v>
      </c>
      <c r="Q53" s="1"/>
      <c r="R53" s="5">
        <f t="shared" si="36"/>
        <v>0</v>
      </c>
      <c r="S53" s="1"/>
      <c r="T53" s="1">
        <f>SUM(OSRRefT22_12x_0)</f>
        <v>0</v>
      </c>
      <c r="U53" s="1"/>
      <c r="V53" s="5">
        <f t="shared" si="37"/>
        <v>0</v>
      </c>
      <c r="W53" s="1"/>
      <c r="X53" s="1">
        <f t="shared" si="38"/>
        <v>5550</v>
      </c>
      <c r="Y53" s="1"/>
      <c r="Z53" s="5">
        <f t="shared" si="39"/>
        <v>0</v>
      </c>
    </row>
    <row r="54" spans="1:26" s="24" customFormat="1" hidden="1" outlineLevel="2" x14ac:dyDescent="0.3">
      <c r="A54" s="27"/>
      <c r="B54" s="12" t="str">
        <f>CONCATENATE("          ", "6274", " - ", "UTILITIES")</f>
        <v xml:space="preserve">          6274 - UTILITIES</v>
      </c>
      <c r="C54" s="12"/>
      <c r="D54" s="8">
        <v>5550</v>
      </c>
      <c r="E54" s="3"/>
      <c r="F54" s="7">
        <f t="shared" si="32"/>
        <v>0</v>
      </c>
      <c r="G54" s="3"/>
      <c r="H54" s="8"/>
      <c r="I54" s="3"/>
      <c r="J54" s="7">
        <f t="shared" si="33"/>
        <v>0</v>
      </c>
      <c r="K54" s="3"/>
      <c r="L54" s="8">
        <f t="shared" si="34"/>
        <v>5550</v>
      </c>
      <c r="M54" s="3"/>
      <c r="N54" s="7">
        <f t="shared" si="35"/>
        <v>0</v>
      </c>
      <c r="O54" s="12"/>
      <c r="P54" s="8">
        <v>5550</v>
      </c>
      <c r="Q54" s="3"/>
      <c r="R54" s="7">
        <f t="shared" si="36"/>
        <v>0</v>
      </c>
      <c r="S54" s="3"/>
      <c r="T54" s="8"/>
      <c r="U54" s="3"/>
      <c r="V54" s="7">
        <f t="shared" si="37"/>
        <v>0</v>
      </c>
      <c r="W54" s="3"/>
      <c r="X54" s="8">
        <f t="shared" si="38"/>
        <v>5550</v>
      </c>
      <c r="Y54" s="3"/>
      <c r="Z54" s="7">
        <f t="shared" si="39"/>
        <v>0</v>
      </c>
    </row>
    <row r="55" spans="1:26" s="53" customFormat="1" x14ac:dyDescent="0.3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3">
      <c r="A56" s="10"/>
      <c r="B56" s="25" t="s">
        <v>292</v>
      </c>
      <c r="C56" s="10"/>
      <c r="D56" s="4">
        <f>SUM(OSRRefD25x_0)</f>
        <v>1414.97</v>
      </c>
      <c r="E56" s="4"/>
      <c r="F56" s="11">
        <f t="shared" ref="F56:F57" si="40">IF(D$12=0,0,D56/D$12)</f>
        <v>0</v>
      </c>
      <c r="G56" s="4"/>
      <c r="H56" s="4">
        <f>SUM(OSRRefH25x_0)</f>
        <v>512.41</v>
      </c>
      <c r="I56" s="4"/>
      <c r="J56" s="11">
        <f t="shared" ref="J56:J57" si="41">IF(H$12=0,0,H56/H$12)</f>
        <v>0</v>
      </c>
      <c r="K56" s="4"/>
      <c r="L56" s="4">
        <f t="shared" ref="L56:L57" si="42">+D56-H56</f>
        <v>902.56000000000006</v>
      </c>
      <c r="M56" s="4"/>
      <c r="N56" s="11">
        <f t="shared" ref="N56:N57" si="43">IF(H56=0,0,L56/H56)</f>
        <v>1.7614020023028436</v>
      </c>
      <c r="O56" s="10"/>
      <c r="P56" s="4">
        <f>SUM(OSRRefP25x_0)</f>
        <v>1414.97</v>
      </c>
      <c r="Q56" s="4"/>
      <c r="R56" s="11">
        <f t="shared" ref="R56:R57" si="44">IF(P$12=0,0,P56/P$12)</f>
        <v>0</v>
      </c>
      <c r="S56" s="4"/>
      <c r="T56" s="4">
        <f>SUM(OSRRefT25x_0)</f>
        <v>512.41</v>
      </c>
      <c r="U56" s="4"/>
      <c r="V56" s="11">
        <f t="shared" ref="V56:V57" si="45">IF(T$12=0,0,T56/T$12)</f>
        <v>0</v>
      </c>
      <c r="W56" s="4"/>
      <c r="X56" s="4">
        <f t="shared" ref="X56:X57" si="46">+P56-T56</f>
        <v>902.56000000000006</v>
      </c>
      <c r="Y56" s="4"/>
      <c r="Z56" s="11">
        <f t="shared" ref="Z56:Z57" si="47">IF(T56=0,0,X56/T56)</f>
        <v>1.7614020023028436</v>
      </c>
    </row>
    <row r="57" spans="1:26" s="24" customFormat="1" hidden="1" outlineLevel="1" x14ac:dyDescent="0.3">
      <c r="A57" s="50"/>
      <c r="B57" s="12" t="str">
        <f>CONCATENATE("          ", "9150", " - ", "MISC. INCOME")</f>
        <v xml:space="preserve">          9150 - MISC. INCOME</v>
      </c>
      <c r="C57" s="12"/>
      <c r="D57" s="3">
        <f>--1414.97</f>
        <v>1414.97</v>
      </c>
      <c r="E57" s="3"/>
      <c r="F57" s="22">
        <f t="shared" si="40"/>
        <v>0</v>
      </c>
      <c r="G57" s="3"/>
      <c r="H57" s="3">
        <f>--512.41</f>
        <v>512.41</v>
      </c>
      <c r="I57" s="3"/>
      <c r="J57" s="22">
        <f t="shared" si="41"/>
        <v>0</v>
      </c>
      <c r="K57" s="3"/>
      <c r="L57" s="3">
        <f t="shared" si="42"/>
        <v>902.56000000000006</v>
      </c>
      <c r="M57" s="3"/>
      <c r="N57" s="22">
        <f t="shared" si="43"/>
        <v>1.7614020023028436</v>
      </c>
      <c r="O57" s="12"/>
      <c r="P57" s="3">
        <f>--1414.97</f>
        <v>1414.97</v>
      </c>
      <c r="Q57" s="3"/>
      <c r="R57" s="22">
        <f t="shared" si="44"/>
        <v>0</v>
      </c>
      <c r="S57" s="3"/>
      <c r="T57" s="3">
        <f>--512.41</f>
        <v>512.41</v>
      </c>
      <c r="U57" s="3"/>
      <c r="V57" s="22">
        <f t="shared" si="45"/>
        <v>0</v>
      </c>
      <c r="W57" s="3"/>
      <c r="X57" s="3">
        <f t="shared" si="46"/>
        <v>902.56000000000006</v>
      </c>
      <c r="Y57" s="3"/>
      <c r="Z57" s="22">
        <f t="shared" si="47"/>
        <v>1.7614020023028436</v>
      </c>
    </row>
    <row r="58" spans="1:26" x14ac:dyDescent="0.3">
      <c r="A58" s="9"/>
      <c r="B58" s="10"/>
      <c r="C58" s="10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O58" s="10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s="23" customFormat="1" x14ac:dyDescent="0.3">
      <c r="A59" s="10"/>
      <c r="B59" s="26" t="s">
        <v>276</v>
      </c>
      <c r="C59" s="26"/>
      <c r="D59" s="20">
        <f>+D16-D18+D56</f>
        <v>-47136.97</v>
      </c>
      <c r="E59" s="13"/>
      <c r="F59" s="21">
        <f>IF(D$12=0,0,D59/D$12)</f>
        <v>0</v>
      </c>
      <c r="G59" s="13"/>
      <c r="H59" s="20">
        <f>+H16-H18+H56</f>
        <v>-30139.8</v>
      </c>
      <c r="I59" s="13"/>
      <c r="J59" s="21">
        <f>IF(H$12=0,0,H59/H$12)</f>
        <v>0</v>
      </c>
      <c r="K59" s="16"/>
      <c r="L59" s="20">
        <f>+D59-H59</f>
        <v>-16997.170000000002</v>
      </c>
      <c r="M59" s="16"/>
      <c r="N59" s="21">
        <f>IF(H59=0,0,L59/H59)</f>
        <v>0.56394435264998444</v>
      </c>
      <c r="O59" s="25"/>
      <c r="P59" s="20">
        <f>+P16-P18+P56</f>
        <v>-47136.97</v>
      </c>
      <c r="Q59" s="13"/>
      <c r="R59" s="21">
        <f>IF(P$12=0,0,P59/P$12)</f>
        <v>0</v>
      </c>
      <c r="S59" s="13"/>
      <c r="T59" s="20">
        <f>+T16-T18+T56</f>
        <v>-30139.8</v>
      </c>
      <c r="U59" s="13"/>
      <c r="V59" s="21">
        <f>IF(T$12=0,0,T59/T$12)</f>
        <v>0</v>
      </c>
      <c r="W59" s="16"/>
      <c r="X59" s="20">
        <f>+P59-T59</f>
        <v>-16997.170000000002</v>
      </c>
      <c r="Y59" s="16"/>
      <c r="Z59" s="21">
        <f>IF(T59=0,0,X59/T59)</f>
        <v>0.56394435264998444</v>
      </c>
    </row>
    <row r="60" spans="1:26" x14ac:dyDescent="0.3">
      <c r="A60" s="9"/>
      <c r="B60" s="10"/>
      <c r="C60" s="9"/>
      <c r="D60" s="2"/>
      <c r="E60" s="2"/>
      <c r="F60" s="6"/>
      <c r="G60" s="2"/>
      <c r="H60" s="2"/>
      <c r="I60" s="2"/>
      <c r="J60" s="6"/>
      <c r="K60" s="2"/>
      <c r="L60" s="2"/>
      <c r="M60" s="2"/>
      <c r="N60" s="6"/>
      <c r="P60" s="2"/>
      <c r="Q60" s="2"/>
      <c r="R60" s="6"/>
      <c r="S60" s="2"/>
      <c r="T60" s="2"/>
      <c r="U60" s="2"/>
      <c r="V60" s="6"/>
      <c r="W60" s="2"/>
      <c r="X60" s="2"/>
      <c r="Y60" s="2"/>
      <c r="Z60" s="6"/>
    </row>
    <row r="61" spans="1:26" s="23" customFormat="1" x14ac:dyDescent="0.3">
      <c r="A61" s="51"/>
      <c r="B61" s="10" t="s">
        <v>127</v>
      </c>
      <c r="C61" s="10"/>
      <c r="D61" s="4"/>
      <c r="E61" s="4"/>
      <c r="F61" s="11">
        <f>IF(D$12=0,0,D61/D$12)</f>
        <v>0</v>
      </c>
      <c r="G61" s="4"/>
      <c r="H61" s="4"/>
      <c r="I61" s="4"/>
      <c r="J61" s="11">
        <f>IF(H$12=0,0,H61/H$12)</f>
        <v>0</v>
      </c>
      <c r="K61" s="4"/>
      <c r="L61" s="4">
        <f>+D61-H61</f>
        <v>0</v>
      </c>
      <c r="M61" s="4"/>
      <c r="N61" s="11">
        <f>IF(H61=0,0,L61/H61)</f>
        <v>0</v>
      </c>
      <c r="O61" s="10"/>
      <c r="P61" s="4"/>
      <c r="Q61" s="4"/>
      <c r="R61" s="11">
        <f>IF(P$12=0,0,P61/P$12)</f>
        <v>0</v>
      </c>
      <c r="S61" s="4"/>
      <c r="T61" s="4"/>
      <c r="U61" s="4"/>
      <c r="V61" s="11">
        <f>IF(T$12=0,0,T61/T$12)</f>
        <v>0</v>
      </c>
      <c r="W61" s="4"/>
      <c r="X61" s="4">
        <f>+P61-T61</f>
        <v>0</v>
      </c>
      <c r="Y61" s="4"/>
      <c r="Z61" s="11">
        <f>IF(T61=0,0,X61/T61)</f>
        <v>0</v>
      </c>
    </row>
    <row r="62" spans="1:26" x14ac:dyDescent="0.3">
      <c r="A62" s="9"/>
      <c r="B62" s="10"/>
      <c r="C62" s="10"/>
      <c r="D62" s="2"/>
      <c r="E62" s="2"/>
      <c r="F62" s="6"/>
      <c r="G62" s="2"/>
      <c r="H62" s="2"/>
      <c r="I62" s="2"/>
      <c r="J62" s="6"/>
      <c r="K62" s="2"/>
      <c r="L62" s="2"/>
      <c r="M62" s="2"/>
      <c r="N62" s="6"/>
      <c r="O62" s="10"/>
      <c r="P62" s="2"/>
      <c r="Q62" s="2"/>
      <c r="R62" s="6"/>
      <c r="S62" s="2"/>
      <c r="T62" s="2"/>
      <c r="U62" s="2"/>
      <c r="V62" s="6"/>
      <c r="W62" s="2"/>
      <c r="X62" s="2"/>
      <c r="Y62" s="2"/>
      <c r="Z62" s="6"/>
    </row>
    <row r="63" spans="1:26" s="23" customFormat="1" ht="15" thickBot="1" x14ac:dyDescent="0.35">
      <c r="A63" s="10"/>
      <c r="B63" s="26" t="s">
        <v>125</v>
      </c>
      <c r="C63" s="26"/>
      <c r="D63" s="36">
        <f>+D59-D61</f>
        <v>-47136.97</v>
      </c>
      <c r="E63" s="13"/>
      <c r="F63" s="34">
        <f>IF(D$12=0,0,D63/D$12)</f>
        <v>0</v>
      </c>
      <c r="G63" s="13"/>
      <c r="H63" s="36">
        <f>+H59-H61</f>
        <v>-30139.8</v>
      </c>
      <c r="I63" s="13"/>
      <c r="J63" s="34">
        <f>IF(H$12=0,0,H63/H$12)</f>
        <v>0</v>
      </c>
      <c r="K63" s="16"/>
      <c r="L63" s="36">
        <f>D63-H63</f>
        <v>-16997.170000000002</v>
      </c>
      <c r="M63" s="16"/>
      <c r="N63" s="34">
        <f>IF(H63=0,0,L63/H63)</f>
        <v>0.56394435264998444</v>
      </c>
      <c r="O63" s="25"/>
      <c r="P63" s="36">
        <f>+P59-P61</f>
        <v>-47136.97</v>
      </c>
      <c r="Q63" s="13"/>
      <c r="R63" s="34">
        <f>IF(P$12=0,0,P63/P$12)</f>
        <v>0</v>
      </c>
      <c r="S63" s="13"/>
      <c r="T63" s="36">
        <f>+T59-T61</f>
        <v>-30139.8</v>
      </c>
      <c r="U63" s="13"/>
      <c r="V63" s="34">
        <f>IF(T$12=0,0,T63/T$12)</f>
        <v>0</v>
      </c>
      <c r="W63" s="16"/>
      <c r="X63" s="36">
        <f>P63-T63</f>
        <v>-16997.170000000002</v>
      </c>
      <c r="Y63" s="16"/>
      <c r="Z63" s="34">
        <f>IF(T63=0,0,X63/T63)</f>
        <v>0.56394435264998444</v>
      </c>
    </row>
    <row r="64" spans="1:26" ht="15" thickTop="1" x14ac:dyDescent="0.3">
      <c r="A64" s="9"/>
      <c r="B64" s="9"/>
      <c r="C64" s="9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x14ac:dyDescent="0.3">
      <c r="A65" s="9"/>
      <c r="B65" s="9"/>
      <c r="C65" s="9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23" customFormat="1" ht="15" thickBot="1" x14ac:dyDescent="0.35">
      <c r="A66" s="10"/>
      <c r="B66" s="26" t="s">
        <v>293</v>
      </c>
      <c r="C66" s="26"/>
      <c r="D66" s="31">
        <f>SUM(D63:D65)</f>
        <v>-47136.97</v>
      </c>
      <c r="E66" s="13"/>
      <c r="F66" s="33">
        <f>IF(D$12=0,0,D66/D$12)</f>
        <v>0</v>
      </c>
      <c r="G66" s="13"/>
      <c r="H66" s="31">
        <f>SUM(H63:H65)</f>
        <v>-30139.8</v>
      </c>
      <c r="I66" s="13"/>
      <c r="J66" s="33">
        <f>IF(H$12=0,0,H66/H$12)</f>
        <v>0</v>
      </c>
      <c r="K66" s="16"/>
      <c r="L66" s="31">
        <f>+D66-H66</f>
        <v>-16997.170000000002</v>
      </c>
      <c r="M66" s="16"/>
      <c r="N66" s="33">
        <f>IF(H66=0,0,L66/H66)</f>
        <v>0.56394435264998444</v>
      </c>
      <c r="O66" s="25"/>
      <c r="P66" s="31">
        <f>SUM(P63:P65)</f>
        <v>-47136.97</v>
      </c>
      <c r="Q66" s="13"/>
      <c r="R66" s="33">
        <f>IF(P$12=0,0,P66/P$12)</f>
        <v>0</v>
      </c>
      <c r="S66" s="13"/>
      <c r="T66" s="31">
        <f>SUM(T63:T65)</f>
        <v>-30139.8</v>
      </c>
      <c r="U66" s="13"/>
      <c r="V66" s="33">
        <f>IF(T$12=0,0,T66/T$12)</f>
        <v>0</v>
      </c>
      <c r="W66" s="16"/>
      <c r="X66" s="31">
        <f>+P66-T66</f>
        <v>-16997.170000000002</v>
      </c>
      <c r="Y66" s="16"/>
      <c r="Z66" s="33">
        <f>IF(T66=0,0,X66/T66)</f>
        <v>0.56394435264998444</v>
      </c>
    </row>
    <row r="67" spans="1:26" ht="15" thickTop="1" x14ac:dyDescent="0.3">
      <c r="A67" s="9"/>
      <c r="C67" s="9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3">
      <c r="A68" s="9"/>
      <c r="B68" s="59">
        <v>44462.666945868055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3">
      <c r="A69" s="9"/>
      <c r="B69" s="57" t="s">
        <v>56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3">
      <c r="A70" s="9"/>
      <c r="B70" s="61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3"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613.36</v>
      </c>
      <c r="E18" s="19"/>
      <c r="F18" s="35">
        <f t="shared" ref="F18:F26" si="0">IF(D$12=0,0,D18/D$12)</f>
        <v>0</v>
      </c>
      <c r="G18" s="19"/>
      <c r="H18" s="19">
        <f>SUM(OSRRefH22x_0)</f>
        <v>1080.99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-467.63</v>
      </c>
      <c r="M18" s="4"/>
      <c r="N18" s="35">
        <f t="shared" ref="N18:N26" si="3">IF(H18=0,0,L18/H18)</f>
        <v>-0.43259419606101812</v>
      </c>
      <c r="O18" s="10"/>
      <c r="P18" s="19">
        <f>SUM(OSRRefP22x_0)</f>
        <v>613.36</v>
      </c>
      <c r="Q18" s="19"/>
      <c r="R18" s="35">
        <f t="shared" ref="R18:R26" si="4">IF(P$12=0,0,P18/P$12)</f>
        <v>0</v>
      </c>
      <c r="S18" s="19"/>
      <c r="T18" s="19">
        <f>SUM(OSRRefT22x_0)</f>
        <v>1080.99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-467.63</v>
      </c>
      <c r="Y18" s="4"/>
      <c r="Z18" s="35">
        <f t="shared" ref="Z18:Z26" si="7">IF(T18=0,0,X18/T18)</f>
        <v>-0.43259419606101812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690.36</v>
      </c>
      <c r="I19" s="1"/>
      <c r="J19" s="5">
        <f t="shared" si="1"/>
        <v>0</v>
      </c>
      <c r="K19" s="1"/>
      <c r="L19" s="1">
        <f t="shared" si="2"/>
        <v>-113</v>
      </c>
      <c r="M19" s="1"/>
      <c r="N19" s="5">
        <f t="shared" si="3"/>
        <v>-0.16368271626397821</v>
      </c>
      <c r="O19" s="14"/>
      <c r="P19" s="1">
        <f>SUM(OSRRefP22_0x_0)</f>
        <v>577.36</v>
      </c>
      <c r="Q19" s="1"/>
      <c r="R19" s="5">
        <f t="shared" si="4"/>
        <v>0</v>
      </c>
      <c r="S19" s="1"/>
      <c r="T19" s="1">
        <f>SUM(OSRRefT22_0x_0)</f>
        <v>690.36</v>
      </c>
      <c r="U19" s="1"/>
      <c r="V19" s="5">
        <f t="shared" si="5"/>
        <v>0</v>
      </c>
      <c r="W19" s="1"/>
      <c r="X19" s="1">
        <f t="shared" si="6"/>
        <v>-113</v>
      </c>
      <c r="Y19" s="1"/>
      <c r="Z19" s="5">
        <f t="shared" si="7"/>
        <v>-0.16368271626397821</v>
      </c>
    </row>
    <row r="20" spans="1:26" s="24" customFormat="1" hidden="1" outlineLevel="2" x14ac:dyDescent="0.3">
      <c r="A20" s="27"/>
      <c r="B20" s="12" t="str">
        <f>CONCATENATE("          ", "6322", " - ", "EQUIPMENT DEPRECIATION EXPENSE")</f>
        <v xml:space="preserve">          6322 - EQUIPMENT DEPRECIATION EXPENSE</v>
      </c>
      <c r="C20" s="12"/>
      <c r="D20" s="8">
        <v>577.36</v>
      </c>
      <c r="E20" s="3"/>
      <c r="F20" s="7">
        <f t="shared" si="0"/>
        <v>0</v>
      </c>
      <c r="G20" s="3"/>
      <c r="H20" s="8">
        <v>690.36</v>
      </c>
      <c r="I20" s="3"/>
      <c r="J20" s="7">
        <f t="shared" si="1"/>
        <v>0</v>
      </c>
      <c r="K20" s="3"/>
      <c r="L20" s="8">
        <f t="shared" si="2"/>
        <v>-113</v>
      </c>
      <c r="M20" s="3"/>
      <c r="N20" s="7">
        <f t="shared" si="3"/>
        <v>-0.16368271626397821</v>
      </c>
      <c r="O20" s="12"/>
      <c r="P20" s="8">
        <v>577.36</v>
      </c>
      <c r="Q20" s="3"/>
      <c r="R20" s="7">
        <f t="shared" si="4"/>
        <v>0</v>
      </c>
      <c r="S20" s="3"/>
      <c r="T20" s="8">
        <v>690.36</v>
      </c>
      <c r="U20" s="3"/>
      <c r="V20" s="7">
        <f t="shared" si="5"/>
        <v>0</v>
      </c>
      <c r="W20" s="3"/>
      <c r="X20" s="8">
        <f t="shared" si="6"/>
        <v>-113</v>
      </c>
      <c r="Y20" s="3"/>
      <c r="Z20" s="7">
        <f t="shared" si="7"/>
        <v>-0.16368271626397821</v>
      </c>
    </row>
    <row r="21" spans="1:26" s="29" customFormat="1" outlineLevel="1" collapsed="1" x14ac:dyDescent="0.3">
      <c r="A21" s="28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16.239999999999998</v>
      </c>
      <c r="I21" s="1"/>
      <c r="J21" s="5">
        <f t="shared" si="1"/>
        <v>0</v>
      </c>
      <c r="K21" s="1"/>
      <c r="L21" s="1">
        <f t="shared" si="2"/>
        <v>-16.239999999999998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2" t="str">
        <f>CONCATENATE("          ", "6351", " - ", "EQUIPMENT RENTAL")</f>
        <v xml:space="preserve">          6351 - EQUIPMENT RENTAL</v>
      </c>
      <c r="C22" s="12"/>
      <c r="D22" s="8"/>
      <c r="E22" s="3"/>
      <c r="F22" s="7">
        <f t="shared" si="0"/>
        <v>0</v>
      </c>
      <c r="G22" s="3"/>
      <c r="H22" s="8">
        <v>16.239999999999998</v>
      </c>
      <c r="I22" s="3"/>
      <c r="J22" s="7">
        <f t="shared" si="1"/>
        <v>0</v>
      </c>
      <c r="K22" s="3"/>
      <c r="L22" s="8">
        <f t="shared" si="2"/>
        <v>-16.239999999999998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16.239999999999998</v>
      </c>
      <c r="U22" s="3"/>
      <c r="V22" s="7">
        <f t="shared" si="5"/>
        <v>0</v>
      </c>
      <c r="W22" s="3"/>
      <c r="X22" s="8">
        <f t="shared" si="6"/>
        <v>-16.239999999999998</v>
      </c>
      <c r="Y22" s="3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320.58</v>
      </c>
      <c r="I23" s="1"/>
      <c r="J23" s="5">
        <f t="shared" si="1"/>
        <v>0</v>
      </c>
      <c r="K23" s="1"/>
      <c r="L23" s="1">
        <f t="shared" si="2"/>
        <v>-320.58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320.58</v>
      </c>
      <c r="U23" s="1"/>
      <c r="V23" s="5">
        <f t="shared" si="5"/>
        <v>0</v>
      </c>
      <c r="W23" s="1"/>
      <c r="X23" s="1">
        <f t="shared" si="6"/>
        <v>-320.58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2" t="str">
        <f>CONCATENATE("          ", "6286", " - ", "LAUNDRY EXPENSE")</f>
        <v xml:space="preserve">          6286 - LAUNDRY EXPENSE</v>
      </c>
      <c r="C24" s="12"/>
      <c r="D24" s="8"/>
      <c r="E24" s="3"/>
      <c r="F24" s="7">
        <f t="shared" si="0"/>
        <v>0</v>
      </c>
      <c r="G24" s="3"/>
      <c r="H24" s="8">
        <v>320.58</v>
      </c>
      <c r="I24" s="3"/>
      <c r="J24" s="7">
        <f t="shared" si="1"/>
        <v>0</v>
      </c>
      <c r="K24" s="3"/>
      <c r="L24" s="8">
        <f t="shared" si="2"/>
        <v>-320.58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320.58</v>
      </c>
      <c r="U24" s="3"/>
      <c r="V24" s="7">
        <f t="shared" si="5"/>
        <v>0</v>
      </c>
      <c r="W24" s="3"/>
      <c r="X24" s="8">
        <f t="shared" si="6"/>
        <v>-320.58</v>
      </c>
      <c r="Y24" s="3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36</v>
      </c>
      <c r="E25" s="1"/>
      <c r="F25" s="5">
        <f t="shared" si="0"/>
        <v>0</v>
      </c>
      <c r="G25" s="1"/>
      <c r="H25" s="1">
        <f>SUM(OSRRefH22_3x_0)</f>
        <v>53.81</v>
      </c>
      <c r="I25" s="1"/>
      <c r="J25" s="5">
        <f t="shared" si="1"/>
        <v>0</v>
      </c>
      <c r="K25" s="1"/>
      <c r="L25" s="1">
        <f t="shared" si="2"/>
        <v>-17.810000000000002</v>
      </c>
      <c r="M25" s="1"/>
      <c r="N25" s="5">
        <f t="shared" si="3"/>
        <v>-0.33097937186396581</v>
      </c>
      <c r="O25" s="14"/>
      <c r="P25" s="1">
        <f>SUM(OSRRefP22_3x_0)</f>
        <v>36</v>
      </c>
      <c r="Q25" s="1"/>
      <c r="R25" s="5">
        <f t="shared" si="4"/>
        <v>0</v>
      </c>
      <c r="S25" s="1"/>
      <c r="T25" s="1">
        <f>SUM(OSRRefT22_3x_0)</f>
        <v>53.81</v>
      </c>
      <c r="U25" s="1"/>
      <c r="V25" s="5">
        <f t="shared" si="5"/>
        <v>0</v>
      </c>
      <c r="W25" s="1"/>
      <c r="X25" s="1">
        <f t="shared" si="6"/>
        <v>-17.810000000000002</v>
      </c>
      <c r="Y25" s="1"/>
      <c r="Z25" s="5">
        <f t="shared" si="7"/>
        <v>-0.33097937186396581</v>
      </c>
    </row>
    <row r="26" spans="1:26" s="24" customFormat="1" hidden="1" outlineLevel="2" x14ac:dyDescent="0.3">
      <c r="A26" s="27"/>
      <c r="B26" s="12" t="str">
        <f>CONCATENATE("          ", "6309", " - ", "TELEPHONE")</f>
        <v xml:space="preserve">          6309 - TELEPHONE</v>
      </c>
      <c r="C26" s="12"/>
      <c r="D26" s="8">
        <v>36</v>
      </c>
      <c r="E26" s="3"/>
      <c r="F26" s="7">
        <f t="shared" si="0"/>
        <v>0</v>
      </c>
      <c r="G26" s="3"/>
      <c r="H26" s="8">
        <v>53.81</v>
      </c>
      <c r="I26" s="3"/>
      <c r="J26" s="7">
        <f t="shared" si="1"/>
        <v>0</v>
      </c>
      <c r="K26" s="3"/>
      <c r="L26" s="8">
        <f t="shared" si="2"/>
        <v>-17.810000000000002</v>
      </c>
      <c r="M26" s="3"/>
      <c r="N26" s="7">
        <f t="shared" si="3"/>
        <v>-0.33097937186396581</v>
      </c>
      <c r="O26" s="12"/>
      <c r="P26" s="8">
        <v>36</v>
      </c>
      <c r="Q26" s="3"/>
      <c r="R26" s="7">
        <f t="shared" si="4"/>
        <v>0</v>
      </c>
      <c r="S26" s="3"/>
      <c r="T26" s="8">
        <v>53.81</v>
      </c>
      <c r="U26" s="3"/>
      <c r="V26" s="7">
        <f t="shared" si="5"/>
        <v>0</v>
      </c>
      <c r="W26" s="3"/>
      <c r="X26" s="8">
        <f t="shared" si="6"/>
        <v>-17.810000000000002</v>
      </c>
      <c r="Y26" s="3"/>
      <c r="Z26" s="7">
        <f t="shared" si="7"/>
        <v>-0.33097937186396581</v>
      </c>
    </row>
    <row r="27" spans="1:26" s="53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292</v>
      </c>
      <c r="C28" s="10"/>
      <c r="D28" s="4">
        <f>SUM(0)</f>
        <v>0</v>
      </c>
      <c r="E28" s="4"/>
      <c r="F28" s="11">
        <f>IF(D$12=0,0,D28/D$12)</f>
        <v>0</v>
      </c>
      <c r="G28" s="4"/>
      <c r="H28" s="4">
        <f>SUM(0)</f>
        <v>0</v>
      </c>
      <c r="I28" s="4"/>
      <c r="J28" s="11">
        <f>IF(H$12=0,0,H28/H$12)</f>
        <v>0</v>
      </c>
      <c r="K28" s="4"/>
      <c r="L28" s="4">
        <f>+D28-H28</f>
        <v>0</v>
      </c>
      <c r="M28" s="4"/>
      <c r="N28" s="11">
        <f>IF(H28=0,0,L28/H28)</f>
        <v>0</v>
      </c>
      <c r="O28" s="10"/>
      <c r="P28" s="4">
        <f>SUM(0)</f>
        <v>0</v>
      </c>
      <c r="Q28" s="4"/>
      <c r="R28" s="11">
        <f>IF(P$12=0,0,P28/P$12)</f>
        <v>0</v>
      </c>
      <c r="S28" s="4"/>
      <c r="T28" s="4">
        <f>SUM(0)</f>
        <v>0</v>
      </c>
      <c r="U28" s="4"/>
      <c r="V28" s="11">
        <f>IF(T$12=0,0,T28/T$12)</f>
        <v>0</v>
      </c>
      <c r="W28" s="4"/>
      <c r="X28" s="4">
        <f>+P28-T28</f>
        <v>0</v>
      </c>
      <c r="Y28" s="4"/>
      <c r="Z28" s="11">
        <f>IF(T28=0,0,X28/T28)</f>
        <v>0</v>
      </c>
    </row>
    <row r="29" spans="1:26" x14ac:dyDescent="0.3">
      <c r="A29" s="9"/>
      <c r="B29" s="10"/>
      <c r="C29" s="10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10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10"/>
      <c r="B30" s="26" t="s">
        <v>276</v>
      </c>
      <c r="C30" s="26"/>
      <c r="D30" s="20">
        <f>+D16-D18+D28</f>
        <v>-613.36</v>
      </c>
      <c r="E30" s="13"/>
      <c r="F30" s="21">
        <f>IF(D$12=0,0,D30/D$12)</f>
        <v>0</v>
      </c>
      <c r="G30" s="13"/>
      <c r="H30" s="20">
        <f>+H16-H18+H28</f>
        <v>-1080.99</v>
      </c>
      <c r="I30" s="13"/>
      <c r="J30" s="21">
        <f>IF(H$12=0,0,H30/H$12)</f>
        <v>0</v>
      </c>
      <c r="K30" s="16"/>
      <c r="L30" s="20">
        <f>+D30-H30</f>
        <v>467.63</v>
      </c>
      <c r="M30" s="16"/>
      <c r="N30" s="21">
        <f>IF(H30=0,0,L30/H30)</f>
        <v>-0.43259419606101812</v>
      </c>
      <c r="O30" s="25"/>
      <c r="P30" s="20">
        <f>+P16-P18+P28</f>
        <v>-613.36</v>
      </c>
      <c r="Q30" s="13"/>
      <c r="R30" s="21">
        <f>IF(P$12=0,0,P30/P$12)</f>
        <v>0</v>
      </c>
      <c r="S30" s="13"/>
      <c r="T30" s="20">
        <f>+T16-T18+T28</f>
        <v>-1080.99</v>
      </c>
      <c r="U30" s="13"/>
      <c r="V30" s="21">
        <f>IF(T$12=0,0,T30/T$12)</f>
        <v>0</v>
      </c>
      <c r="W30" s="16"/>
      <c r="X30" s="20">
        <f>+P30-T30</f>
        <v>467.63</v>
      </c>
      <c r="Y30" s="16"/>
      <c r="Z30" s="21">
        <f>IF(T30=0,0,X30/T30)</f>
        <v>-0.43259419606101812</v>
      </c>
    </row>
    <row r="31" spans="1:26" x14ac:dyDescent="0.3">
      <c r="A31" s="9"/>
      <c r="B31" s="10"/>
      <c r="C31" s="9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x14ac:dyDescent="0.3">
      <c r="A32" s="51"/>
      <c r="B32" s="10" t="s">
        <v>127</v>
      </c>
      <c r="C32" s="10"/>
      <c r="D32" s="4"/>
      <c r="E32" s="4"/>
      <c r="F32" s="11">
        <f>IF(D$12=0,0,D32/D$12)</f>
        <v>0</v>
      </c>
      <c r="G32" s="4"/>
      <c r="H32" s="4"/>
      <c r="I32" s="4"/>
      <c r="J32" s="11">
        <f>IF(H$12=0,0,H32/H$12)</f>
        <v>0</v>
      </c>
      <c r="K32" s="4"/>
      <c r="L32" s="4">
        <f>+D32-H32</f>
        <v>0</v>
      </c>
      <c r="M32" s="4"/>
      <c r="N32" s="11">
        <f>IF(H32=0,0,L32/H32)</f>
        <v>0</v>
      </c>
      <c r="O32" s="10"/>
      <c r="P32" s="4"/>
      <c r="Q32" s="4"/>
      <c r="R32" s="11">
        <f>IF(P$12=0,0,P32/P$12)</f>
        <v>0</v>
      </c>
      <c r="S32" s="4"/>
      <c r="T32" s="4"/>
      <c r="U32" s="4"/>
      <c r="V32" s="11">
        <f>IF(T$12=0,0,T32/T$12)</f>
        <v>0</v>
      </c>
      <c r="W32" s="4"/>
      <c r="X32" s="4">
        <f>+P32-T32</f>
        <v>0</v>
      </c>
      <c r="Y32" s="4"/>
      <c r="Z32" s="11">
        <f>IF(T32=0,0,X32/T32)</f>
        <v>0</v>
      </c>
    </row>
    <row r="33" spans="1:26" x14ac:dyDescent="0.3">
      <c r="A33" s="9"/>
      <c r="B33" s="10"/>
      <c r="C33" s="10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10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ht="15" thickBot="1" x14ac:dyDescent="0.35">
      <c r="A34" s="10"/>
      <c r="B34" s="26" t="s">
        <v>125</v>
      </c>
      <c r="C34" s="26"/>
      <c r="D34" s="36">
        <f>+D30-D32</f>
        <v>-613.36</v>
      </c>
      <c r="E34" s="13"/>
      <c r="F34" s="34">
        <f>IF(D$12=0,0,D34/D$12)</f>
        <v>0</v>
      </c>
      <c r="G34" s="13"/>
      <c r="H34" s="36">
        <f>+H30-H32</f>
        <v>-1080.99</v>
      </c>
      <c r="I34" s="13"/>
      <c r="J34" s="34">
        <f>IF(H$12=0,0,H34/H$12)</f>
        <v>0</v>
      </c>
      <c r="K34" s="16"/>
      <c r="L34" s="36">
        <f>D34-H34</f>
        <v>467.63</v>
      </c>
      <c r="M34" s="16"/>
      <c r="N34" s="34">
        <f>IF(H34=0,0,L34/H34)</f>
        <v>-0.43259419606101812</v>
      </c>
      <c r="O34" s="25"/>
      <c r="P34" s="36">
        <f>+P30-P32</f>
        <v>-613.36</v>
      </c>
      <c r="Q34" s="13"/>
      <c r="R34" s="34">
        <f>IF(P$12=0,0,P34/P$12)</f>
        <v>0</v>
      </c>
      <c r="S34" s="13"/>
      <c r="T34" s="36">
        <f>+T30-T32</f>
        <v>-1080.99</v>
      </c>
      <c r="U34" s="13"/>
      <c r="V34" s="34">
        <f>IF(T$12=0,0,T34/T$12)</f>
        <v>0</v>
      </c>
      <c r="W34" s="16"/>
      <c r="X34" s="36">
        <f>P34-T34</f>
        <v>467.63</v>
      </c>
      <c r="Y34" s="16"/>
      <c r="Z34" s="34">
        <f>IF(T34=0,0,X34/T34)</f>
        <v>-0.43259419606101812</v>
      </c>
    </row>
    <row r="35" spans="1:26" ht="15" thickTop="1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x14ac:dyDescent="0.3">
      <c r="A36" s="9"/>
      <c r="B36" s="9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3" customFormat="1" ht="15" thickBot="1" x14ac:dyDescent="0.35">
      <c r="A37" s="10"/>
      <c r="B37" s="26" t="s">
        <v>293</v>
      </c>
      <c r="C37" s="26"/>
      <c r="D37" s="31">
        <f>SUM(D34:D36)</f>
        <v>-613.36</v>
      </c>
      <c r="E37" s="13"/>
      <c r="F37" s="33">
        <f>IF(D$12=0,0,D37/D$12)</f>
        <v>0</v>
      </c>
      <c r="G37" s="13"/>
      <c r="H37" s="31">
        <f>SUM(H34:H36)</f>
        <v>-1080.99</v>
      </c>
      <c r="I37" s="13"/>
      <c r="J37" s="33">
        <f>IF(H$12=0,0,H37/H$12)</f>
        <v>0</v>
      </c>
      <c r="K37" s="16"/>
      <c r="L37" s="31">
        <f>+D37-H37</f>
        <v>467.63</v>
      </c>
      <c r="M37" s="16"/>
      <c r="N37" s="33">
        <f>IF(H37=0,0,L37/H37)</f>
        <v>-0.43259419606101812</v>
      </c>
      <c r="O37" s="25"/>
      <c r="P37" s="31">
        <f>SUM(P34:P36)</f>
        <v>-613.36</v>
      </c>
      <c r="Q37" s="13"/>
      <c r="R37" s="33">
        <f>IF(P$12=0,0,P37/P$12)</f>
        <v>0</v>
      </c>
      <c r="S37" s="13"/>
      <c r="T37" s="31">
        <f>SUM(T34:T36)</f>
        <v>-1080.99</v>
      </c>
      <c r="U37" s="13"/>
      <c r="V37" s="33">
        <f>IF(T$12=0,0,T37/T$12)</f>
        <v>0</v>
      </c>
      <c r="W37" s="16"/>
      <c r="X37" s="31">
        <f>+P37-T37</f>
        <v>467.63</v>
      </c>
      <c r="Y37" s="16"/>
      <c r="Z37" s="33">
        <f>IF(T37=0,0,X37/T37)</f>
        <v>-0.43259419606101812</v>
      </c>
    </row>
    <row r="38" spans="1:26" ht="15" thickTop="1" x14ac:dyDescent="0.3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9">
        <v>44462.666945868055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57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A41" s="9"/>
      <c r="B41" s="61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3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58.03</v>
      </c>
      <c r="E18" s="19"/>
      <c r="F18" s="35">
        <f t="shared" ref="F18:F24" si="0">IF(D$12=0,0,D18/D$12)</f>
        <v>0</v>
      </c>
      <c r="G18" s="19"/>
      <c r="H18" s="19">
        <f>SUM(OSRRefH22x_0)</f>
        <v>4118.5600000000004</v>
      </c>
      <c r="I18" s="19"/>
      <c r="J18" s="35">
        <f t="shared" ref="J18:J24" si="1">IF(H$12=0,0,H18/H$12)</f>
        <v>0</v>
      </c>
      <c r="K18" s="4"/>
      <c r="L18" s="19">
        <f t="shared" ref="L18:L24" si="2">+D18-H18</f>
        <v>-4060.53</v>
      </c>
      <c r="M18" s="4"/>
      <c r="N18" s="35">
        <f t="shared" ref="N18:N24" si="3">IF(H18=0,0,L18/H18)</f>
        <v>-0.98591012392680932</v>
      </c>
      <c r="O18" s="10"/>
      <c r="P18" s="19">
        <f>SUM(OSRRefP22x_0)</f>
        <v>58.03</v>
      </c>
      <c r="Q18" s="19"/>
      <c r="R18" s="35">
        <f t="shared" ref="R18:R24" si="4">IF(P$12=0,0,P18/P$12)</f>
        <v>0</v>
      </c>
      <c r="S18" s="19"/>
      <c r="T18" s="19">
        <f>SUM(OSRRefT22x_0)</f>
        <v>4118.5600000000004</v>
      </c>
      <c r="U18" s="19"/>
      <c r="V18" s="35">
        <f t="shared" ref="V18:V24" si="5">IF(T$12=0,0,T18/T$12)</f>
        <v>0</v>
      </c>
      <c r="W18" s="4"/>
      <c r="X18" s="19">
        <f t="shared" ref="X18:X24" si="6">+P18-T18</f>
        <v>-4060.53</v>
      </c>
      <c r="Y18" s="4"/>
      <c r="Z18" s="35">
        <f t="shared" ref="Z18:Z24" si="7">IF(T18=0,0,X18/T18)</f>
        <v>-0.98591012392680932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1493.43</v>
      </c>
      <c r="I19" s="1"/>
      <c r="J19" s="5">
        <f t="shared" si="1"/>
        <v>0</v>
      </c>
      <c r="K19" s="1"/>
      <c r="L19" s="1">
        <f t="shared" si="2"/>
        <v>-1493.43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>
        <v>191.51</v>
      </c>
      <c r="I20" s="3"/>
      <c r="J20" s="7">
        <f t="shared" si="1"/>
        <v>0</v>
      </c>
      <c r="K20" s="3"/>
      <c r="L20" s="8">
        <f t="shared" si="2"/>
        <v>-191.51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191.51</v>
      </c>
      <c r="U20" s="3"/>
      <c r="V20" s="7">
        <f t="shared" si="5"/>
        <v>0</v>
      </c>
      <c r="W20" s="3"/>
      <c r="X20" s="8">
        <f t="shared" si="6"/>
        <v>-191.51</v>
      </c>
      <c r="Y20" s="3"/>
      <c r="Z20" s="7">
        <f t="shared" si="7"/>
        <v>-1</v>
      </c>
    </row>
    <row r="21" spans="1:26" s="24" customFormat="1" hidden="1" outlineLevel="2" x14ac:dyDescent="0.3">
      <c r="A21" s="27"/>
      <c r="B21" s="12" t="str">
        <f>CONCATENATE("          ", "6113", " - ", "GROUP INSURANCE")</f>
        <v xml:space="preserve">          6113 - GROUP INSURANCE</v>
      </c>
      <c r="C21" s="12"/>
      <c r="D21" s="8"/>
      <c r="E21" s="3"/>
      <c r="F21" s="7">
        <f t="shared" si="0"/>
        <v>0</v>
      </c>
      <c r="G21" s="3"/>
      <c r="H21" s="8">
        <v>718.51</v>
      </c>
      <c r="I21" s="3"/>
      <c r="J21" s="7">
        <f t="shared" si="1"/>
        <v>0</v>
      </c>
      <c r="K21" s="3"/>
      <c r="L21" s="8">
        <f t="shared" si="2"/>
        <v>-718.51</v>
      </c>
      <c r="M21" s="3"/>
      <c r="N21" s="7">
        <f t="shared" si="3"/>
        <v>-1</v>
      </c>
      <c r="O21" s="12"/>
      <c r="P21" s="8"/>
      <c r="Q21" s="3"/>
      <c r="R21" s="7">
        <f t="shared" si="4"/>
        <v>0</v>
      </c>
      <c r="S21" s="3"/>
      <c r="T21" s="8">
        <v>718.51</v>
      </c>
      <c r="U21" s="3"/>
      <c r="V21" s="7">
        <f t="shared" si="5"/>
        <v>0</v>
      </c>
      <c r="W21" s="3"/>
      <c r="X21" s="8">
        <f t="shared" si="6"/>
        <v>-718.51</v>
      </c>
      <c r="Y21" s="3"/>
      <c r="Z21" s="7">
        <f t="shared" si="7"/>
        <v>-1</v>
      </c>
    </row>
    <row r="22" spans="1:26" s="24" customFormat="1" hidden="1" outlineLevel="2" x14ac:dyDescent="0.3">
      <c r="A22" s="27"/>
      <c r="B22" s="12" t="str">
        <f>CONCATENATE("          ", "6115", " - ", "P.E.R.S.")</f>
        <v xml:space="preserve">          6115 - P.E.R.S.</v>
      </c>
      <c r="C22" s="12"/>
      <c r="D22" s="8"/>
      <c r="E22" s="3"/>
      <c r="F22" s="7">
        <f t="shared" si="0"/>
        <v>0</v>
      </c>
      <c r="G22" s="3"/>
      <c r="H22" s="8">
        <v>377.03</v>
      </c>
      <c r="I22" s="3"/>
      <c r="J22" s="7">
        <f t="shared" si="1"/>
        <v>0</v>
      </c>
      <c r="K22" s="3"/>
      <c r="L22" s="8">
        <f t="shared" si="2"/>
        <v>-377.03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377.03</v>
      </c>
      <c r="U22" s="3"/>
      <c r="V22" s="7">
        <f t="shared" si="5"/>
        <v>0</v>
      </c>
      <c r="W22" s="3"/>
      <c r="X22" s="8">
        <f t="shared" si="6"/>
        <v>-377.03</v>
      </c>
      <c r="Y22" s="3"/>
      <c r="Z22" s="7">
        <f t="shared" si="7"/>
        <v>-1</v>
      </c>
    </row>
    <row r="23" spans="1:26" s="24" customFormat="1" hidden="1" outlineLevel="2" x14ac:dyDescent="0.3">
      <c r="A23" s="27"/>
      <c r="B23" s="12" t="str">
        <f>CONCATENATE("          ", "6118", " - ", "VACATION")</f>
        <v xml:space="preserve">          6118 - VACATION</v>
      </c>
      <c r="C23" s="12"/>
      <c r="D23" s="8"/>
      <c r="E23" s="3"/>
      <c r="F23" s="7">
        <f t="shared" si="0"/>
        <v>0</v>
      </c>
      <c r="G23" s="3"/>
      <c r="H23" s="8">
        <v>93.89</v>
      </c>
      <c r="I23" s="3"/>
      <c r="J23" s="7">
        <f t="shared" si="1"/>
        <v>0</v>
      </c>
      <c r="K23" s="3"/>
      <c r="L23" s="8">
        <f t="shared" si="2"/>
        <v>-93.89</v>
      </c>
      <c r="M23" s="3"/>
      <c r="N23" s="7">
        <f t="shared" si="3"/>
        <v>-1</v>
      </c>
      <c r="O23" s="12"/>
      <c r="P23" s="8"/>
      <c r="Q23" s="3"/>
      <c r="R23" s="7">
        <f t="shared" si="4"/>
        <v>0</v>
      </c>
      <c r="S23" s="3"/>
      <c r="T23" s="8">
        <v>93.89</v>
      </c>
      <c r="U23" s="3"/>
      <c r="V23" s="7">
        <f t="shared" si="5"/>
        <v>0</v>
      </c>
      <c r="W23" s="3"/>
      <c r="X23" s="8">
        <f t="shared" si="6"/>
        <v>-93.89</v>
      </c>
      <c r="Y23" s="3"/>
      <c r="Z23" s="7">
        <f t="shared" si="7"/>
        <v>-1</v>
      </c>
    </row>
    <row r="24" spans="1:26" s="24" customFormat="1" hidden="1" outlineLevel="2" x14ac:dyDescent="0.3">
      <c r="A24" s="27"/>
      <c r="B24" s="12" t="str">
        <f>CONCATENATE("          ", "6119", " - ", "SICK LEAVE")</f>
        <v xml:space="preserve">          6119 - SICK LEAVE</v>
      </c>
      <c r="C24" s="12"/>
      <c r="D24" s="8"/>
      <c r="E24" s="3"/>
      <c r="F24" s="7">
        <f t="shared" si="0"/>
        <v>0</v>
      </c>
      <c r="G24" s="3"/>
      <c r="H24" s="8">
        <v>112.49</v>
      </c>
      <c r="I24" s="3"/>
      <c r="J24" s="7">
        <f t="shared" si="1"/>
        <v>0</v>
      </c>
      <c r="K24" s="3"/>
      <c r="L24" s="8">
        <f t="shared" si="2"/>
        <v>-112.49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112.49</v>
      </c>
      <c r="U24" s="3"/>
      <c r="V24" s="7">
        <f t="shared" si="5"/>
        <v>0</v>
      </c>
      <c r="W24" s="3"/>
      <c r="X24" s="8">
        <f t="shared" si="6"/>
        <v>-112.49</v>
      </c>
      <c r="Y24" s="3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2" si="8">IF(D$12=0,0,D25/D$12)</f>
        <v>0</v>
      </c>
      <c r="G25" s="1"/>
      <c r="H25" s="1">
        <f>SUM(OSRRefH22_1x_0)</f>
        <v>2259.48</v>
      </c>
      <c r="I25" s="1"/>
      <c r="J25" s="5">
        <f t="shared" ref="J25:J32" si="9">IF(H$12=0,0,H25/H$12)</f>
        <v>0</v>
      </c>
      <c r="K25" s="1"/>
      <c r="L25" s="1">
        <f t="shared" ref="L25:L32" si="10">+D25-H25</f>
        <v>-2259.48</v>
      </c>
      <c r="M25" s="1"/>
      <c r="N25" s="5">
        <f t="shared" ref="N25:N32" si="11">IF(H25=0,0,L25/H25)</f>
        <v>-1</v>
      </c>
      <c r="O25" s="14"/>
      <c r="P25" s="1">
        <f>SUM(OSRRefP22_1x_0)</f>
        <v>0</v>
      </c>
      <c r="Q25" s="1"/>
      <c r="R25" s="5">
        <f t="shared" ref="R25:R32" si="12">IF(P$12=0,0,P25/P$12)</f>
        <v>0</v>
      </c>
      <c r="S25" s="1"/>
      <c r="T25" s="1">
        <f>SUM(OSRRefT22_1x_0)</f>
        <v>2259.48</v>
      </c>
      <c r="U25" s="1"/>
      <c r="V25" s="5">
        <f t="shared" ref="V25:V32" si="13">IF(T$12=0,0,T25/T$12)</f>
        <v>0</v>
      </c>
      <c r="W25" s="1"/>
      <c r="X25" s="1">
        <f t="shared" ref="X25:X32" si="14">+P25-T25</f>
        <v>-2259.48</v>
      </c>
      <c r="Y25" s="1"/>
      <c r="Z25" s="5">
        <f t="shared" ref="Z25:Z32" si="15">IF(T25=0,0,X25/T25)</f>
        <v>-1</v>
      </c>
    </row>
    <row r="26" spans="1:26" s="24" customFormat="1" hidden="1" outlineLevel="2" x14ac:dyDescent="0.3">
      <c r="A26" s="27"/>
      <c r="B26" s="12" t="str">
        <f>CONCATENATE("          ", "6002", " - ", "STAFF SALARIES")</f>
        <v xml:space="preserve">          6002 - STAFF SALARIES</v>
      </c>
      <c r="C26" s="12"/>
      <c r="D26" s="8"/>
      <c r="E26" s="3"/>
      <c r="F26" s="7">
        <f t="shared" si="8"/>
        <v>0</v>
      </c>
      <c r="G26" s="3"/>
      <c r="H26" s="8">
        <v>2259.48</v>
      </c>
      <c r="I26" s="3"/>
      <c r="J26" s="7">
        <f t="shared" si="9"/>
        <v>0</v>
      </c>
      <c r="K26" s="3"/>
      <c r="L26" s="8">
        <f t="shared" si="10"/>
        <v>-2259.48</v>
      </c>
      <c r="M26" s="3"/>
      <c r="N26" s="7">
        <f t="shared" si="11"/>
        <v>-1</v>
      </c>
      <c r="O26" s="12"/>
      <c r="P26" s="8"/>
      <c r="Q26" s="3"/>
      <c r="R26" s="7">
        <f t="shared" si="12"/>
        <v>0</v>
      </c>
      <c r="S26" s="3"/>
      <c r="T26" s="8">
        <v>2259.48</v>
      </c>
      <c r="U26" s="3"/>
      <c r="V26" s="7">
        <f t="shared" si="13"/>
        <v>0</v>
      </c>
      <c r="W26" s="3"/>
      <c r="X26" s="8">
        <f t="shared" si="14"/>
        <v>-2259.48</v>
      </c>
      <c r="Y26" s="3"/>
      <c r="Z26" s="7">
        <f t="shared" si="15"/>
        <v>-1</v>
      </c>
    </row>
    <row r="27" spans="1:26" s="29" customFormat="1" outlineLevel="1" collapsed="1" x14ac:dyDescent="0.3">
      <c r="A27" s="28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58.03</v>
      </c>
      <c r="Q27" s="1"/>
      <c r="R27" s="5">
        <f t="shared" si="12"/>
        <v>0</v>
      </c>
      <c r="S27" s="1"/>
      <c r="T27" s="1">
        <f>SUM(OSRRefT22_2x_0)</f>
        <v>58.03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3">
      <c r="A28" s="27"/>
      <c r="B28" s="12" t="str">
        <f>CONCATENATE("          ", "6322", " - ", "EQUIPMENT DEPRECIATION EXPENSE")</f>
        <v xml:space="preserve">          6322 - EQUIPMENT DEPRECIATION EXPENSE</v>
      </c>
      <c r="C28" s="12"/>
      <c r="D28" s="8">
        <v>58.03</v>
      </c>
      <c r="E28" s="3"/>
      <c r="F28" s="7">
        <f t="shared" si="8"/>
        <v>0</v>
      </c>
      <c r="G28" s="3"/>
      <c r="H28" s="8">
        <v>58.03</v>
      </c>
      <c r="I28" s="3"/>
      <c r="J28" s="7">
        <f t="shared" si="9"/>
        <v>0</v>
      </c>
      <c r="K28" s="3"/>
      <c r="L28" s="8">
        <f t="shared" si="10"/>
        <v>0</v>
      </c>
      <c r="M28" s="3"/>
      <c r="N28" s="7">
        <f t="shared" si="11"/>
        <v>0</v>
      </c>
      <c r="O28" s="12"/>
      <c r="P28" s="8">
        <v>58.03</v>
      </c>
      <c r="Q28" s="3"/>
      <c r="R28" s="7">
        <f t="shared" si="12"/>
        <v>0</v>
      </c>
      <c r="S28" s="3"/>
      <c r="T28" s="8">
        <v>58.03</v>
      </c>
      <c r="U28" s="3"/>
      <c r="V28" s="7">
        <f t="shared" si="13"/>
        <v>0</v>
      </c>
      <c r="W28" s="3"/>
      <c r="X28" s="8">
        <f t="shared" si="14"/>
        <v>0</v>
      </c>
      <c r="Y28" s="3"/>
      <c r="Z28" s="7">
        <f t="shared" si="15"/>
        <v>0</v>
      </c>
    </row>
    <row r="29" spans="1:26" s="29" customFormat="1" outlineLevel="1" collapsed="1" x14ac:dyDescent="0.3">
      <c r="A29" s="28"/>
      <c r="B29" s="14" t="str">
        <f>CONCATENATE("     ","Services                                          ")</f>
        <v xml:space="preserve">     Services              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286.62</v>
      </c>
      <c r="I29" s="1"/>
      <c r="J29" s="5">
        <f t="shared" si="9"/>
        <v>0</v>
      </c>
      <c r="K29" s="1"/>
      <c r="L29" s="1">
        <f t="shared" si="10"/>
        <v>-286.62</v>
      </c>
      <c r="M29" s="1"/>
      <c r="N29" s="5">
        <f t="shared" si="11"/>
        <v>-1</v>
      </c>
      <c r="O29" s="14"/>
      <c r="P29" s="1">
        <f>SUM(OSRRefP22_3x_0)</f>
        <v>0</v>
      </c>
      <c r="Q29" s="1"/>
      <c r="R29" s="5">
        <f t="shared" si="12"/>
        <v>0</v>
      </c>
      <c r="S29" s="1"/>
      <c r="T29" s="1">
        <f>SUM(OSRRefT22_3x_0)</f>
        <v>286.62</v>
      </c>
      <c r="U29" s="1"/>
      <c r="V29" s="5">
        <f t="shared" si="13"/>
        <v>0</v>
      </c>
      <c r="W29" s="1"/>
      <c r="X29" s="1">
        <f t="shared" si="14"/>
        <v>-286.62</v>
      </c>
      <c r="Y29" s="1"/>
      <c r="Z29" s="5">
        <f t="shared" si="15"/>
        <v>-1</v>
      </c>
    </row>
    <row r="30" spans="1:26" s="24" customFormat="1" hidden="1" outlineLevel="2" x14ac:dyDescent="0.3">
      <c r="A30" s="27"/>
      <c r="B30" s="12" t="str">
        <f>CONCATENATE("          ", "6282", " - ", "JANITORIAL/EXTERMINATOR EXPENS")</f>
        <v xml:space="preserve">          6282 - JANITORIAL/EXTERMINATOR EXPENS</v>
      </c>
      <c r="C30" s="12"/>
      <c r="D30" s="8"/>
      <c r="E30" s="3"/>
      <c r="F30" s="7">
        <f t="shared" si="8"/>
        <v>0</v>
      </c>
      <c r="G30" s="3"/>
      <c r="H30" s="8">
        <v>286.62</v>
      </c>
      <c r="I30" s="3"/>
      <c r="J30" s="7">
        <f t="shared" si="9"/>
        <v>0</v>
      </c>
      <c r="K30" s="3"/>
      <c r="L30" s="8">
        <f t="shared" si="10"/>
        <v>-286.62</v>
      </c>
      <c r="M30" s="3"/>
      <c r="N30" s="7">
        <f t="shared" si="11"/>
        <v>-1</v>
      </c>
      <c r="O30" s="12"/>
      <c r="P30" s="8"/>
      <c r="Q30" s="3"/>
      <c r="R30" s="7">
        <f t="shared" si="12"/>
        <v>0</v>
      </c>
      <c r="S30" s="3"/>
      <c r="T30" s="8">
        <v>286.62</v>
      </c>
      <c r="U30" s="3"/>
      <c r="V30" s="7">
        <f t="shared" si="13"/>
        <v>0</v>
      </c>
      <c r="W30" s="3"/>
      <c r="X30" s="8">
        <f t="shared" si="14"/>
        <v>-286.62</v>
      </c>
      <c r="Y30" s="3"/>
      <c r="Z30" s="7">
        <f t="shared" si="15"/>
        <v>-1</v>
      </c>
    </row>
    <row r="31" spans="1:26" s="29" customFormat="1" outlineLevel="1" collapsed="1" x14ac:dyDescent="0.3">
      <c r="A31" s="28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21</v>
      </c>
      <c r="I31" s="1"/>
      <c r="J31" s="5">
        <f t="shared" si="9"/>
        <v>0</v>
      </c>
      <c r="K31" s="1"/>
      <c r="L31" s="1">
        <f t="shared" si="10"/>
        <v>-21</v>
      </c>
      <c r="M31" s="1"/>
      <c r="N31" s="5">
        <f t="shared" si="11"/>
        <v>-1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21</v>
      </c>
      <c r="U31" s="1"/>
      <c r="V31" s="5">
        <f t="shared" si="13"/>
        <v>0</v>
      </c>
      <c r="W31" s="1"/>
      <c r="X31" s="1">
        <f t="shared" si="14"/>
        <v>-21</v>
      </c>
      <c r="Y31" s="1"/>
      <c r="Z31" s="5">
        <f t="shared" si="15"/>
        <v>-1</v>
      </c>
    </row>
    <row r="32" spans="1:26" s="24" customFormat="1" hidden="1" outlineLevel="2" x14ac:dyDescent="0.3">
      <c r="A32" s="27"/>
      <c r="B32" s="12" t="str">
        <f>CONCATENATE("          ", "6309", " - ", "TELEPHONE")</f>
        <v xml:space="preserve">          6309 - TELEPHONE</v>
      </c>
      <c r="C32" s="12"/>
      <c r="D32" s="8"/>
      <c r="E32" s="3"/>
      <c r="F32" s="7">
        <f t="shared" si="8"/>
        <v>0</v>
      </c>
      <c r="G32" s="3"/>
      <c r="H32" s="8">
        <v>21</v>
      </c>
      <c r="I32" s="3"/>
      <c r="J32" s="7">
        <f t="shared" si="9"/>
        <v>0</v>
      </c>
      <c r="K32" s="3"/>
      <c r="L32" s="8">
        <f t="shared" si="10"/>
        <v>-21</v>
      </c>
      <c r="M32" s="3"/>
      <c r="N32" s="7">
        <f t="shared" si="11"/>
        <v>-1</v>
      </c>
      <c r="O32" s="12"/>
      <c r="P32" s="8"/>
      <c r="Q32" s="3"/>
      <c r="R32" s="7">
        <f t="shared" si="12"/>
        <v>0</v>
      </c>
      <c r="S32" s="3"/>
      <c r="T32" s="8">
        <v>21</v>
      </c>
      <c r="U32" s="3"/>
      <c r="V32" s="7">
        <f t="shared" si="13"/>
        <v>0</v>
      </c>
      <c r="W32" s="3"/>
      <c r="X32" s="8">
        <f t="shared" si="14"/>
        <v>-21</v>
      </c>
      <c r="Y32" s="3"/>
      <c r="Z32" s="7">
        <f t="shared" si="15"/>
        <v>-1</v>
      </c>
    </row>
    <row r="33" spans="1:26" s="53" customFormat="1" x14ac:dyDescent="0.3">
      <c r="A33" s="37"/>
      <c r="B33" s="37"/>
      <c r="C33" s="37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7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3">
      <c r="A34" s="10"/>
      <c r="B34" s="25" t="s">
        <v>292</v>
      </c>
      <c r="C34" s="10"/>
      <c r="D34" s="4">
        <f>SUM(0)</f>
        <v>0</v>
      </c>
      <c r="E34" s="4"/>
      <c r="F34" s="11">
        <f>IF(D$12=0,0,D34/D$12)</f>
        <v>0</v>
      </c>
      <c r="G34" s="4"/>
      <c r="H34" s="4">
        <f>SUM(0)</f>
        <v>0</v>
      </c>
      <c r="I34" s="4"/>
      <c r="J34" s="11">
        <f>IF(H$12=0,0,H34/H$12)</f>
        <v>0</v>
      </c>
      <c r="K34" s="4"/>
      <c r="L34" s="4">
        <f>+D34-H34</f>
        <v>0</v>
      </c>
      <c r="M34" s="4"/>
      <c r="N34" s="11">
        <f>IF(H34=0,0,L34/H34)</f>
        <v>0</v>
      </c>
      <c r="O34" s="10"/>
      <c r="P34" s="4">
        <f>SUM(0)</f>
        <v>0</v>
      </c>
      <c r="Q34" s="4"/>
      <c r="R34" s="11">
        <f>IF(P$12=0,0,P34/P$12)</f>
        <v>0</v>
      </c>
      <c r="S34" s="4"/>
      <c r="T34" s="4">
        <f>SUM(0)</f>
        <v>0</v>
      </c>
      <c r="U34" s="4"/>
      <c r="V34" s="11">
        <f>IF(T$12=0,0,T34/T$12)</f>
        <v>0</v>
      </c>
      <c r="W34" s="4"/>
      <c r="X34" s="4">
        <f>+P34-T34</f>
        <v>0</v>
      </c>
      <c r="Y34" s="4"/>
      <c r="Z34" s="11">
        <f>IF(T34=0,0,X34/T34)</f>
        <v>0</v>
      </c>
    </row>
    <row r="35" spans="1:26" x14ac:dyDescent="0.3">
      <c r="A35" s="9"/>
      <c r="B35" s="10"/>
      <c r="C35" s="10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O35" s="10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x14ac:dyDescent="0.3">
      <c r="A36" s="10"/>
      <c r="B36" s="26" t="s">
        <v>276</v>
      </c>
      <c r="C36" s="26"/>
      <c r="D36" s="20">
        <f>+D16-D18+D34</f>
        <v>-58.03</v>
      </c>
      <c r="E36" s="13"/>
      <c r="F36" s="21">
        <f>IF(D$12=0,0,D36/D$12)</f>
        <v>0</v>
      </c>
      <c r="G36" s="13"/>
      <c r="H36" s="20">
        <f>+H16-H18+H34</f>
        <v>-4118.5600000000004</v>
      </c>
      <c r="I36" s="13"/>
      <c r="J36" s="21">
        <f>IF(H$12=0,0,H36/H$12)</f>
        <v>0</v>
      </c>
      <c r="K36" s="16"/>
      <c r="L36" s="20">
        <f>+D36-H36</f>
        <v>4060.53</v>
      </c>
      <c r="M36" s="16"/>
      <c r="N36" s="21">
        <f>IF(H36=0,0,L36/H36)</f>
        <v>-0.98591012392680932</v>
      </c>
      <c r="O36" s="25"/>
      <c r="P36" s="20">
        <f>+P16-P18+P34</f>
        <v>-58.03</v>
      </c>
      <c r="Q36" s="13"/>
      <c r="R36" s="21">
        <f>IF(P$12=0,0,P36/P$12)</f>
        <v>0</v>
      </c>
      <c r="S36" s="13"/>
      <c r="T36" s="20">
        <f>+T16-T18+T34</f>
        <v>-4118.5600000000004</v>
      </c>
      <c r="U36" s="13"/>
      <c r="V36" s="21">
        <f>IF(T$12=0,0,T36/T$12)</f>
        <v>0</v>
      </c>
      <c r="W36" s="16"/>
      <c r="X36" s="20">
        <f>+P36-T36</f>
        <v>4060.53</v>
      </c>
      <c r="Y36" s="16"/>
      <c r="Z36" s="21">
        <f>IF(T36=0,0,X36/T36)</f>
        <v>-0.98591012392680932</v>
      </c>
    </row>
    <row r="37" spans="1:26" x14ac:dyDescent="0.3">
      <c r="A37" s="9"/>
      <c r="B37" s="10"/>
      <c r="C37" s="9"/>
      <c r="D37" s="2"/>
      <c r="E37" s="2"/>
      <c r="F37" s="6"/>
      <c r="G37" s="2"/>
      <c r="H37" s="2"/>
      <c r="I37" s="2"/>
      <c r="J37" s="6"/>
      <c r="K37" s="2"/>
      <c r="L37" s="2"/>
      <c r="M37" s="2"/>
      <c r="N37" s="6"/>
      <c r="P37" s="2"/>
      <c r="Q37" s="2"/>
      <c r="R37" s="6"/>
      <c r="S37" s="2"/>
      <c r="T37" s="2"/>
      <c r="U37" s="2"/>
      <c r="V37" s="6"/>
      <c r="W37" s="2"/>
      <c r="X37" s="2"/>
      <c r="Y37" s="2"/>
      <c r="Z37" s="6"/>
    </row>
    <row r="38" spans="1:26" s="23" customFormat="1" x14ac:dyDescent="0.3">
      <c r="A38" s="51"/>
      <c r="B38" s="10" t="s">
        <v>127</v>
      </c>
      <c r="C38" s="10"/>
      <c r="D38" s="4"/>
      <c r="E38" s="4"/>
      <c r="F38" s="11">
        <f>IF(D$12=0,0,D38/D$12)</f>
        <v>0</v>
      </c>
      <c r="G38" s="4"/>
      <c r="H38" s="4"/>
      <c r="I38" s="4"/>
      <c r="J38" s="11">
        <f>IF(H$12=0,0,H38/H$12)</f>
        <v>0</v>
      </c>
      <c r="K38" s="4"/>
      <c r="L38" s="4">
        <f>+D38-H38</f>
        <v>0</v>
      </c>
      <c r="M38" s="4"/>
      <c r="N38" s="11">
        <f>IF(H38=0,0,L38/H38)</f>
        <v>0</v>
      </c>
      <c r="O38" s="10"/>
      <c r="P38" s="4"/>
      <c r="Q38" s="4"/>
      <c r="R38" s="11">
        <f>IF(P$12=0,0,P38/P$12)</f>
        <v>0</v>
      </c>
      <c r="S38" s="4"/>
      <c r="T38" s="4"/>
      <c r="U38" s="4"/>
      <c r="V38" s="11">
        <f>IF(T$12=0,0,T38/T$12)</f>
        <v>0</v>
      </c>
      <c r="W38" s="4"/>
      <c r="X38" s="4">
        <f>+P38-T38</f>
        <v>0</v>
      </c>
      <c r="Y38" s="4"/>
      <c r="Z38" s="11">
        <f>IF(T38=0,0,X38/T38)</f>
        <v>0</v>
      </c>
    </row>
    <row r="39" spans="1:26" x14ac:dyDescent="0.3">
      <c r="A39" s="9"/>
      <c r="B39" s="10"/>
      <c r="C39" s="10"/>
      <c r="D39" s="2"/>
      <c r="E39" s="2"/>
      <c r="F39" s="6"/>
      <c r="G39" s="2"/>
      <c r="H39" s="2"/>
      <c r="I39" s="2"/>
      <c r="J39" s="6"/>
      <c r="K39" s="2"/>
      <c r="L39" s="2"/>
      <c r="M39" s="2"/>
      <c r="N39" s="6"/>
      <c r="O39" s="10"/>
      <c r="P39" s="2"/>
      <c r="Q39" s="2"/>
      <c r="R39" s="6"/>
      <c r="S39" s="2"/>
      <c r="T39" s="2"/>
      <c r="U39" s="2"/>
      <c r="V39" s="6"/>
      <c r="W39" s="2"/>
      <c r="X39" s="2"/>
      <c r="Y39" s="2"/>
      <c r="Z39" s="6"/>
    </row>
    <row r="40" spans="1:26" s="23" customFormat="1" ht="15" thickBot="1" x14ac:dyDescent="0.35">
      <c r="A40" s="10"/>
      <c r="B40" s="26" t="s">
        <v>125</v>
      </c>
      <c r="C40" s="26"/>
      <c r="D40" s="36">
        <f>+D36-D38</f>
        <v>-58.03</v>
      </c>
      <c r="E40" s="13"/>
      <c r="F40" s="34">
        <f>IF(D$12=0,0,D40/D$12)</f>
        <v>0</v>
      </c>
      <c r="G40" s="13"/>
      <c r="H40" s="36">
        <f>+H36-H38</f>
        <v>-4118.5600000000004</v>
      </c>
      <c r="I40" s="13"/>
      <c r="J40" s="34">
        <f>IF(H$12=0,0,H40/H$12)</f>
        <v>0</v>
      </c>
      <c r="K40" s="16"/>
      <c r="L40" s="36">
        <f>D40-H40</f>
        <v>4060.53</v>
      </c>
      <c r="M40" s="16"/>
      <c r="N40" s="34">
        <f>IF(H40=0,0,L40/H40)</f>
        <v>-0.98591012392680932</v>
      </c>
      <c r="O40" s="25"/>
      <c r="P40" s="36">
        <f>+P36-P38</f>
        <v>-58.03</v>
      </c>
      <c r="Q40" s="13"/>
      <c r="R40" s="34">
        <f>IF(P$12=0,0,P40/P$12)</f>
        <v>0</v>
      </c>
      <c r="S40" s="13"/>
      <c r="T40" s="36">
        <f>+T36-T38</f>
        <v>-4118.5600000000004</v>
      </c>
      <c r="U40" s="13"/>
      <c r="V40" s="34">
        <f>IF(T$12=0,0,T40/T$12)</f>
        <v>0</v>
      </c>
      <c r="W40" s="16"/>
      <c r="X40" s="36">
        <f>P40-T40</f>
        <v>4060.53</v>
      </c>
      <c r="Y40" s="16"/>
      <c r="Z40" s="34">
        <f>IF(T40=0,0,X40/T40)</f>
        <v>-0.98591012392680932</v>
      </c>
    </row>
    <row r="41" spans="1:26" ht="15" thickTop="1" x14ac:dyDescent="0.3">
      <c r="A41" s="9"/>
      <c r="B41" s="9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x14ac:dyDescent="0.3">
      <c r="A42" s="9"/>
      <c r="B42" s="9"/>
      <c r="C42" s="9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s="23" customFormat="1" ht="15" thickBot="1" x14ac:dyDescent="0.35">
      <c r="A43" s="10"/>
      <c r="B43" s="26" t="s">
        <v>293</v>
      </c>
      <c r="C43" s="26"/>
      <c r="D43" s="31">
        <f>SUM(D40:D42)</f>
        <v>-58.03</v>
      </c>
      <c r="E43" s="13"/>
      <c r="F43" s="33">
        <f>IF(D$12=0,0,D43/D$12)</f>
        <v>0</v>
      </c>
      <c r="G43" s="13"/>
      <c r="H43" s="31">
        <f>SUM(H40:H42)</f>
        <v>-4118.5600000000004</v>
      </c>
      <c r="I43" s="13"/>
      <c r="J43" s="33">
        <f>IF(H$12=0,0,H43/H$12)</f>
        <v>0</v>
      </c>
      <c r="K43" s="16"/>
      <c r="L43" s="31">
        <f>+D43-H43</f>
        <v>4060.53</v>
      </c>
      <c r="M43" s="16"/>
      <c r="N43" s="33">
        <f>IF(H43=0,0,L43/H43)</f>
        <v>-0.98591012392680932</v>
      </c>
      <c r="O43" s="25"/>
      <c r="P43" s="31">
        <f>SUM(P40:P42)</f>
        <v>-58.03</v>
      </c>
      <c r="Q43" s="13"/>
      <c r="R43" s="33">
        <f>IF(P$12=0,0,P43/P$12)</f>
        <v>0</v>
      </c>
      <c r="S43" s="13"/>
      <c r="T43" s="31">
        <f>SUM(T40:T42)</f>
        <v>-4118.5600000000004</v>
      </c>
      <c r="U43" s="13"/>
      <c r="V43" s="33">
        <f>IF(T$12=0,0,T43/T$12)</f>
        <v>0</v>
      </c>
      <c r="W43" s="16"/>
      <c r="X43" s="31">
        <f>+P43-T43</f>
        <v>4060.53</v>
      </c>
      <c r="Y43" s="16"/>
      <c r="Z43" s="33">
        <f>IF(T43=0,0,X43/T43)</f>
        <v>-0.98591012392680932</v>
      </c>
    </row>
    <row r="44" spans="1:26" ht="15" thickTop="1" x14ac:dyDescent="0.3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">
      <c r="A45" s="9"/>
      <c r="B45" s="59">
        <v>44462.666945868055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57" t="s">
        <v>56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A47" s="9"/>
      <c r="B47" s="61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3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1"/>
      <c r="G12" s="4"/>
      <c r="H12" s="4">
        <f>SUM(OSRRefH13x_0)</f>
        <v>974.91</v>
      </c>
      <c r="I12" s="4"/>
      <c r="J12" s="11"/>
      <c r="K12" s="4"/>
      <c r="L12" s="4">
        <f t="shared" ref="L12:L13" si="0">+D12-H12</f>
        <v>-974.91</v>
      </c>
      <c r="M12" s="4"/>
      <c r="N12" s="11">
        <f t="shared" ref="N12:N13" si="1">IF(H12=0,0,L12/H12)</f>
        <v>-1</v>
      </c>
      <c r="O12" s="10"/>
      <c r="P12" s="4">
        <f>SUM(OSRRefP13x_0)</f>
        <v>0</v>
      </c>
      <c r="Q12" s="4"/>
      <c r="R12" s="11"/>
      <c r="S12" s="4"/>
      <c r="T12" s="4">
        <f>SUM(OSRRefT13x_0)</f>
        <v>974.91</v>
      </c>
      <c r="U12" s="4"/>
      <c r="V12" s="11"/>
      <c r="W12" s="4"/>
      <c r="X12" s="4">
        <f t="shared" ref="X12:X13" si="2">+P12-T12</f>
        <v>-974.91</v>
      </c>
      <c r="Y12" s="4"/>
      <c r="Z12" s="11">
        <f t="shared" ref="Z12:Z13" si="3">IF(T12=0,0,X12/T12)</f>
        <v>-1</v>
      </c>
    </row>
    <row r="13" spans="1:26" s="24" customFormat="1" hidden="1" outlineLevel="1" x14ac:dyDescent="0.3">
      <c r="A13" s="50"/>
      <c r="B13" s="12" t="str">
        <f>CONCATENATE("          ", "4058", " - ", "TAXABLE SALES-FOOD")</f>
        <v xml:space="preserve">          4058 - TAXABLE SALES-FOOD</v>
      </c>
      <c r="C13" s="12"/>
      <c r="D13" s="3">
        <f>0</f>
        <v>0</v>
      </c>
      <c r="E13" s="3"/>
      <c r="F13" s="22"/>
      <c r="G13" s="3"/>
      <c r="H13" s="3">
        <f>--974.91</f>
        <v>974.91</v>
      </c>
      <c r="I13" s="3"/>
      <c r="J13" s="22"/>
      <c r="K13" s="3"/>
      <c r="L13" s="3">
        <f t="shared" si="0"/>
        <v>-974.91</v>
      </c>
      <c r="M13" s="3"/>
      <c r="N13" s="22">
        <f t="shared" si="1"/>
        <v>-1</v>
      </c>
      <c r="O13" s="12"/>
      <c r="P13" s="3">
        <f>0</f>
        <v>0</v>
      </c>
      <c r="Q13" s="3"/>
      <c r="R13" s="22"/>
      <c r="S13" s="3"/>
      <c r="T13" s="3">
        <f>--974.91</f>
        <v>974.91</v>
      </c>
      <c r="U13" s="3"/>
      <c r="V13" s="22"/>
      <c r="W13" s="3"/>
      <c r="X13" s="3">
        <f t="shared" si="2"/>
        <v>-974.91</v>
      </c>
      <c r="Y13" s="3"/>
      <c r="Z13" s="22">
        <f t="shared" si="3"/>
        <v>-1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974.91</v>
      </c>
      <c r="I17" s="13"/>
      <c r="J17" s="21">
        <f>IF(H$12=0,0,H17/H$12)</f>
        <v>1</v>
      </c>
      <c r="K17" s="16"/>
      <c r="L17" s="20">
        <f>+D17-H17</f>
        <v>-974.91</v>
      </c>
      <c r="M17" s="16"/>
      <c r="N17" s="21">
        <f>IF(H17=0,0,L17/H17)</f>
        <v>-1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974.91</v>
      </c>
      <c r="U17" s="13"/>
      <c r="V17" s="21">
        <f>IF(T$12=0,0,T17/T$12)</f>
        <v>1</v>
      </c>
      <c r="W17" s="16"/>
      <c r="X17" s="20">
        <f>+P17-T17</f>
        <v>-974.91</v>
      </c>
      <c r="Y17" s="16"/>
      <c r="Z17" s="21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0</v>
      </c>
      <c r="E19" s="19"/>
      <c r="F19" s="35">
        <f t="shared" ref="F19:F23" si="4">IF(D$12=0,0,D19/D$12)</f>
        <v>0</v>
      </c>
      <c r="G19" s="19"/>
      <c r="H19" s="19">
        <f>SUM(OSRRefH22x_0)</f>
        <v>2674.56</v>
      </c>
      <c r="I19" s="19"/>
      <c r="J19" s="35">
        <f t="shared" ref="J19:J23" si="5">IF(H$12=0,0,H19/H$12)</f>
        <v>2.7433916976951718</v>
      </c>
      <c r="K19" s="4"/>
      <c r="L19" s="19">
        <f t="shared" ref="L19:L23" si="6">+D19-H19</f>
        <v>-2674.56</v>
      </c>
      <c r="M19" s="4"/>
      <c r="N19" s="35">
        <f t="shared" ref="N19:N23" si="7">IF(H19=0,0,L19/H19)</f>
        <v>-1</v>
      </c>
      <c r="O19" s="10"/>
      <c r="P19" s="19">
        <f>SUM(OSRRefP22x_0)</f>
        <v>0</v>
      </c>
      <c r="Q19" s="19"/>
      <c r="R19" s="35">
        <f t="shared" ref="R19:R23" si="8">IF(P$12=0,0,P19/P$12)</f>
        <v>0</v>
      </c>
      <c r="S19" s="19"/>
      <c r="T19" s="19">
        <f>SUM(OSRRefT22x_0)</f>
        <v>2674.56</v>
      </c>
      <c r="U19" s="19"/>
      <c r="V19" s="35">
        <f t="shared" ref="V19:V23" si="9">IF(T$12=0,0,T19/T$12)</f>
        <v>2.7433916976951718</v>
      </c>
      <c r="W19" s="4"/>
      <c r="X19" s="19">
        <f t="shared" ref="X19:X23" si="10">+P19-T19</f>
        <v>-2674.56</v>
      </c>
      <c r="Y19" s="4"/>
      <c r="Z19" s="35">
        <f t="shared" ref="Z19:Z23" si="11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702.51</v>
      </c>
      <c r="I20" s="1"/>
      <c r="J20" s="5">
        <f t="shared" si="5"/>
        <v>0.72058959288549718</v>
      </c>
      <c r="K20" s="1"/>
      <c r="L20" s="1">
        <f t="shared" si="6"/>
        <v>-702.51</v>
      </c>
      <c r="M20" s="1"/>
      <c r="N20" s="5">
        <f t="shared" si="7"/>
        <v>-1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2" t="str">
        <f>CONCATENATE("          ", "6113", " - ", "GROUP INSURANCE")</f>
        <v xml:space="preserve">          6113 - GROUP INSURANCE</v>
      </c>
      <c r="C21" s="12"/>
      <c r="D21" s="8"/>
      <c r="E21" s="3"/>
      <c r="F21" s="7">
        <f t="shared" si="4"/>
        <v>0</v>
      </c>
      <c r="G21" s="3"/>
      <c r="H21" s="8">
        <v>702.51</v>
      </c>
      <c r="I21" s="3"/>
      <c r="J21" s="7">
        <f t="shared" si="5"/>
        <v>0.72058959288549718</v>
      </c>
      <c r="K21" s="3"/>
      <c r="L21" s="8">
        <f t="shared" si="6"/>
        <v>-702.51</v>
      </c>
      <c r="M21" s="3"/>
      <c r="N21" s="7">
        <f t="shared" si="7"/>
        <v>-1</v>
      </c>
      <c r="O21" s="12"/>
      <c r="P21" s="8"/>
      <c r="Q21" s="3"/>
      <c r="R21" s="7">
        <f t="shared" si="8"/>
        <v>0</v>
      </c>
      <c r="S21" s="3"/>
      <c r="T21" s="8">
        <v>702.51</v>
      </c>
      <c r="U21" s="3"/>
      <c r="V21" s="7">
        <f t="shared" si="9"/>
        <v>0.72058959288549718</v>
      </c>
      <c r="W21" s="3"/>
      <c r="X21" s="8">
        <f t="shared" si="10"/>
        <v>-702.51</v>
      </c>
      <c r="Y21" s="3"/>
      <c r="Z21" s="7">
        <f t="shared" si="11"/>
        <v>-1</v>
      </c>
    </row>
    <row r="22" spans="1:26" s="29" customFormat="1" outlineLevel="1" collapsed="1" x14ac:dyDescent="0.3">
      <c r="A22" s="28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1972.05</v>
      </c>
      <c r="I22" s="1"/>
      <c r="J22" s="5">
        <f t="shared" si="5"/>
        <v>2.0228021048096747</v>
      </c>
      <c r="K22" s="1"/>
      <c r="L22" s="1">
        <f t="shared" si="6"/>
        <v>-1972.05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1972.05</v>
      </c>
      <c r="U22" s="1"/>
      <c r="V22" s="5">
        <f t="shared" si="9"/>
        <v>2.0228021048096747</v>
      </c>
      <c r="W22" s="1"/>
      <c r="X22" s="1">
        <f t="shared" si="10"/>
        <v>-1972.05</v>
      </c>
      <c r="Y22" s="1"/>
      <c r="Z22" s="5">
        <f t="shared" si="11"/>
        <v>-1</v>
      </c>
    </row>
    <row r="23" spans="1:26" s="24" customFormat="1" hidden="1" outlineLevel="2" x14ac:dyDescent="0.3">
      <c r="A23" s="27"/>
      <c r="B23" s="12" t="str">
        <f>CONCATENATE("          ", "6322", " - ", "EQUIPMENT DEPRECIATION EXPENSE")</f>
        <v xml:space="preserve">          6322 - EQUIPMENT DEPRECIATION EXPENSE</v>
      </c>
      <c r="C23" s="12"/>
      <c r="D23" s="8"/>
      <c r="E23" s="3"/>
      <c r="F23" s="7">
        <f t="shared" si="4"/>
        <v>0</v>
      </c>
      <c r="G23" s="3"/>
      <c r="H23" s="8">
        <v>1972.05</v>
      </c>
      <c r="I23" s="3"/>
      <c r="J23" s="7">
        <f t="shared" si="5"/>
        <v>2.0228021048096747</v>
      </c>
      <c r="K23" s="3"/>
      <c r="L23" s="8">
        <f t="shared" si="6"/>
        <v>-1972.05</v>
      </c>
      <c r="M23" s="3"/>
      <c r="N23" s="7">
        <f t="shared" si="7"/>
        <v>-1</v>
      </c>
      <c r="O23" s="12"/>
      <c r="P23" s="8"/>
      <c r="Q23" s="3"/>
      <c r="R23" s="7">
        <f t="shared" si="8"/>
        <v>0</v>
      </c>
      <c r="S23" s="3"/>
      <c r="T23" s="8">
        <v>1972.05</v>
      </c>
      <c r="U23" s="3"/>
      <c r="V23" s="7">
        <f t="shared" si="9"/>
        <v>2.0228021048096747</v>
      </c>
      <c r="W23" s="3"/>
      <c r="X23" s="8">
        <f t="shared" si="10"/>
        <v>-1972.05</v>
      </c>
      <c r="Y23" s="3"/>
      <c r="Z23" s="7">
        <f t="shared" si="11"/>
        <v>-1</v>
      </c>
    </row>
    <row r="24" spans="1:26" s="53" customFormat="1" x14ac:dyDescent="0.3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292</v>
      </c>
      <c r="C25" s="10"/>
      <c r="D25" s="4">
        <f>SUM(0)</f>
        <v>0</v>
      </c>
      <c r="E25" s="4"/>
      <c r="F25" s="11">
        <f>IF(D$12=0,0,D25/D$12)</f>
        <v>0</v>
      </c>
      <c r="G25" s="4"/>
      <c r="H25" s="4">
        <f>SUM(0)</f>
        <v>0</v>
      </c>
      <c r="I25" s="4"/>
      <c r="J25" s="11">
        <f>IF(H$12=0,0,H25/H$12)</f>
        <v>0</v>
      </c>
      <c r="K25" s="4"/>
      <c r="L25" s="4">
        <f>+D25-H25</f>
        <v>0</v>
      </c>
      <c r="M25" s="4"/>
      <c r="N25" s="11">
        <f>IF(H25=0,0,L25/H25)</f>
        <v>0</v>
      </c>
      <c r="O25" s="10"/>
      <c r="P25" s="4">
        <f>SUM(0)</f>
        <v>0</v>
      </c>
      <c r="Q25" s="4"/>
      <c r="R25" s="11">
        <f>IF(P$12=0,0,P25/P$12)</f>
        <v>0</v>
      </c>
      <c r="S25" s="4"/>
      <c r="T25" s="4">
        <f>SUM(0)</f>
        <v>0</v>
      </c>
      <c r="U25" s="4"/>
      <c r="V25" s="11">
        <f>IF(T$12=0,0,T25/T$12)</f>
        <v>0</v>
      </c>
      <c r="W25" s="4"/>
      <c r="X25" s="4">
        <f>+P25-T25</f>
        <v>0</v>
      </c>
      <c r="Y25" s="4"/>
      <c r="Z25" s="11">
        <f>IF(T25=0,0,X25/T25)</f>
        <v>0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>
        <f>+D17-D19+D25</f>
        <v>0</v>
      </c>
      <c r="E27" s="13"/>
      <c r="F27" s="21">
        <f>IF(D$12=0,0,D27/D$12)</f>
        <v>0</v>
      </c>
      <c r="G27" s="13"/>
      <c r="H27" s="20">
        <f>+H17-H19+H25</f>
        <v>-1699.65</v>
      </c>
      <c r="I27" s="13"/>
      <c r="J27" s="21">
        <f>IF(H$12=0,0,H27/H$12)</f>
        <v>-1.743391697695172</v>
      </c>
      <c r="K27" s="16"/>
      <c r="L27" s="20">
        <f>+D27-H27</f>
        <v>1699.65</v>
      </c>
      <c r="M27" s="16"/>
      <c r="N27" s="21">
        <f>IF(H27=0,0,L27/H27)</f>
        <v>-1</v>
      </c>
      <c r="O27" s="25"/>
      <c r="P27" s="20">
        <f>+P17-P19+P25</f>
        <v>0</v>
      </c>
      <c r="Q27" s="13"/>
      <c r="R27" s="21">
        <f>IF(P$12=0,0,P27/P$12)</f>
        <v>0</v>
      </c>
      <c r="S27" s="13"/>
      <c r="T27" s="20">
        <f>+T17-T19+T25</f>
        <v>-1699.65</v>
      </c>
      <c r="U27" s="13"/>
      <c r="V27" s="21">
        <f>IF(T$12=0,0,T27/T$12)</f>
        <v>-1.743391697695172</v>
      </c>
      <c r="W27" s="16"/>
      <c r="X27" s="20">
        <f>+P27-T27</f>
        <v>1699.65</v>
      </c>
      <c r="Y27" s="16"/>
      <c r="Z27" s="21">
        <f>IF(T27=0,0,X27/T27)</f>
        <v>-1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/>
      <c r="E29" s="4"/>
      <c r="F29" s="11">
        <f>IF(D$12=0,0,D29/D$12)</f>
        <v>0</v>
      </c>
      <c r="G29" s="4"/>
      <c r="H29" s="4">
        <v>468.88</v>
      </c>
      <c r="I29" s="4"/>
      <c r="J29" s="11">
        <f>IF(H$12=0,0,H29/H$12)</f>
        <v>0.48094695920649089</v>
      </c>
      <c r="K29" s="4"/>
      <c r="L29" s="4">
        <f>+D29-H29</f>
        <v>-468.88</v>
      </c>
      <c r="M29" s="4"/>
      <c r="N29" s="11">
        <f>IF(H29=0,0,L29/H29)</f>
        <v>-1</v>
      </c>
      <c r="O29" s="10"/>
      <c r="P29" s="4"/>
      <c r="Q29" s="4"/>
      <c r="R29" s="11">
        <f>IF(P$12=0,0,P29/P$12)</f>
        <v>0</v>
      </c>
      <c r="S29" s="4"/>
      <c r="T29" s="4">
        <v>468.88</v>
      </c>
      <c r="U29" s="4"/>
      <c r="V29" s="11">
        <f>IF(T$12=0,0,T29/T$12)</f>
        <v>0.48094695920649089</v>
      </c>
      <c r="W29" s="4"/>
      <c r="X29" s="4">
        <f>+P29-T29</f>
        <v>-468.88</v>
      </c>
      <c r="Y29" s="4"/>
      <c r="Z29" s="11">
        <f>IF(T29=0,0,X29/T29)</f>
        <v>-1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>
        <f>+D27-D29</f>
        <v>0</v>
      </c>
      <c r="E31" s="13"/>
      <c r="F31" s="34">
        <f>IF(D$12=0,0,D31/D$12)</f>
        <v>0</v>
      </c>
      <c r="G31" s="13"/>
      <c r="H31" s="36">
        <f>+H27-H29</f>
        <v>-2168.5300000000002</v>
      </c>
      <c r="I31" s="13"/>
      <c r="J31" s="34">
        <f>IF(H$12=0,0,H31/H$12)</f>
        <v>-2.2243386569016632</v>
      </c>
      <c r="K31" s="16"/>
      <c r="L31" s="36">
        <f>D31-H31</f>
        <v>2168.5300000000002</v>
      </c>
      <c r="M31" s="16"/>
      <c r="N31" s="34">
        <f>IF(H31=0,0,L31/H31)</f>
        <v>-1</v>
      </c>
      <c r="O31" s="25"/>
      <c r="P31" s="36">
        <f>+P27-P29</f>
        <v>0</v>
      </c>
      <c r="Q31" s="13"/>
      <c r="R31" s="34">
        <f>IF(P$12=0,0,P31/P$12)</f>
        <v>0</v>
      </c>
      <c r="S31" s="13"/>
      <c r="T31" s="36">
        <f>+T27-T29</f>
        <v>-2168.5300000000002</v>
      </c>
      <c r="U31" s="13"/>
      <c r="V31" s="34">
        <f>IF(T$12=0,0,T31/T$12)</f>
        <v>-2.2243386569016632</v>
      </c>
      <c r="W31" s="16"/>
      <c r="X31" s="36">
        <f>P31-T31</f>
        <v>2168.5300000000002</v>
      </c>
      <c r="Y31" s="16"/>
      <c r="Z31" s="34">
        <f>IF(T31=0,0,X31/T31)</f>
        <v>-1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23" customFormat="1" ht="15" thickBot="1" x14ac:dyDescent="0.35">
      <c r="A34" s="10"/>
      <c r="B34" s="26" t="s">
        <v>293</v>
      </c>
      <c r="C34" s="26"/>
      <c r="D34" s="31">
        <f>SUM(D31:D33)</f>
        <v>0</v>
      </c>
      <c r="E34" s="13"/>
      <c r="F34" s="33">
        <f>IF(D$12=0,0,D34/D$12)</f>
        <v>0</v>
      </c>
      <c r="G34" s="13"/>
      <c r="H34" s="31">
        <f>SUM(H31:H33)</f>
        <v>-2168.5300000000002</v>
      </c>
      <c r="I34" s="13"/>
      <c r="J34" s="33">
        <f>IF(H$12=0,0,H34/H$12)</f>
        <v>-2.2243386569016632</v>
      </c>
      <c r="K34" s="16"/>
      <c r="L34" s="31">
        <f>+D34-H34</f>
        <v>2168.5300000000002</v>
      </c>
      <c r="M34" s="16"/>
      <c r="N34" s="33">
        <f>IF(H34=0,0,L34/H34)</f>
        <v>-1</v>
      </c>
      <c r="O34" s="25"/>
      <c r="P34" s="31">
        <f>SUM(P31:P33)</f>
        <v>0</v>
      </c>
      <c r="Q34" s="13"/>
      <c r="R34" s="33">
        <f>IF(P$12=0,0,P34/P$12)</f>
        <v>0</v>
      </c>
      <c r="S34" s="13"/>
      <c r="T34" s="31">
        <f>SUM(T31:T33)</f>
        <v>-2168.5300000000002</v>
      </c>
      <c r="U34" s="13"/>
      <c r="V34" s="33">
        <f>IF(T$12=0,0,T34/T$12)</f>
        <v>-2.2243386569016632</v>
      </c>
      <c r="W34" s="16"/>
      <c r="X34" s="31">
        <f>+P34-T34</f>
        <v>2168.5300000000002</v>
      </c>
      <c r="Y34" s="16"/>
      <c r="Z34" s="33">
        <f>IF(T34=0,0,X34/T34)</f>
        <v>-1</v>
      </c>
    </row>
    <row r="35" spans="1:26" ht="15" thickTop="1" x14ac:dyDescent="0.3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3">
      <c r="A36" s="9"/>
      <c r="B36" s="59">
        <v>44462.666945868055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7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61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138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19702.309999999998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4" si="0">+D12-H12</f>
        <v>19702.309999999998</v>
      </c>
      <c r="M12" s="4"/>
      <c r="N12" s="11">
        <f t="shared" ref="N12:N14" si="1">IF(H12=0,0,L12/H12)</f>
        <v>0</v>
      </c>
      <c r="O12" s="10"/>
      <c r="P12" s="4">
        <f>SUM(OSRRefP13x_0)</f>
        <v>19702.309999999998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4" si="2">+P12-T12</f>
        <v>19702.309999999998</v>
      </c>
      <c r="Y12" s="4"/>
      <c r="Z12" s="11">
        <f t="shared" ref="Z12:Z14" si="3">IF(T12=0,0,X12/T12)</f>
        <v>0</v>
      </c>
    </row>
    <row r="13" spans="1:26" s="24" customFormat="1" hidden="1" outlineLevel="1" x14ac:dyDescent="0.3">
      <c r="A13" s="50"/>
      <c r="B13" s="12" t="str">
        <f>CONCATENATE("          ", "4051", " - ", "TAXABLE SALES-FOOD")</f>
        <v xml:space="preserve">          4051 - TAXABLE SALES-FOOD</v>
      </c>
      <c r="C13" s="12"/>
      <c r="D13" s="3">
        <f>--10630.93</f>
        <v>10630.93</v>
      </c>
      <c r="E13" s="3"/>
      <c r="F13" s="22"/>
      <c r="G13" s="3"/>
      <c r="H13" s="3">
        <f t="shared" ref="H13:H14" si="4">0</f>
        <v>0</v>
      </c>
      <c r="I13" s="3"/>
      <c r="J13" s="22"/>
      <c r="K13" s="3"/>
      <c r="L13" s="3">
        <f t="shared" si="0"/>
        <v>10630.93</v>
      </c>
      <c r="M13" s="3"/>
      <c r="N13" s="22">
        <f t="shared" si="1"/>
        <v>0</v>
      </c>
      <c r="O13" s="12"/>
      <c r="P13" s="3">
        <f>--10630.93</f>
        <v>10630.93</v>
      </c>
      <c r="Q13" s="3"/>
      <c r="R13" s="22"/>
      <c r="S13" s="3"/>
      <c r="T13" s="3">
        <f t="shared" ref="T13:T14" si="5">0</f>
        <v>0</v>
      </c>
      <c r="U13" s="3"/>
      <c r="V13" s="22"/>
      <c r="W13" s="3"/>
      <c r="X13" s="3">
        <f t="shared" si="2"/>
        <v>10630.93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"4151", " - ", "NON-TAXABLE SALES-FOOD")</f>
        <v xml:space="preserve">          4151 - NON-TAXABLE SALES-FOOD</v>
      </c>
      <c r="C14" s="12"/>
      <c r="D14" s="3">
        <f>--9071.38</f>
        <v>9071.3799999999992</v>
      </c>
      <c r="E14" s="3"/>
      <c r="F14" s="22"/>
      <c r="G14" s="3"/>
      <c r="H14" s="3">
        <f t="shared" si="4"/>
        <v>0</v>
      </c>
      <c r="I14" s="3"/>
      <c r="J14" s="22"/>
      <c r="K14" s="3"/>
      <c r="L14" s="3">
        <f t="shared" si="0"/>
        <v>9071.3799999999992</v>
      </c>
      <c r="M14" s="3"/>
      <c r="N14" s="22">
        <f t="shared" si="1"/>
        <v>0</v>
      </c>
      <c r="O14" s="12"/>
      <c r="P14" s="3">
        <f>--9071.38</f>
        <v>9071.3799999999992</v>
      </c>
      <c r="Q14" s="3"/>
      <c r="R14" s="22"/>
      <c r="S14" s="3"/>
      <c r="T14" s="3">
        <f t="shared" si="5"/>
        <v>0</v>
      </c>
      <c r="U14" s="3"/>
      <c r="V14" s="22"/>
      <c r="W14" s="3"/>
      <c r="X14" s="3">
        <f t="shared" si="2"/>
        <v>9071.3799999999992</v>
      </c>
      <c r="Y14" s="3"/>
      <c r="Z14" s="22">
        <f t="shared" si="3"/>
        <v>0</v>
      </c>
    </row>
    <row r="15" spans="1:26" x14ac:dyDescent="0.3">
      <c r="A15" s="9"/>
      <c r="B15" s="10"/>
      <c r="C15" s="9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collapsed="1" x14ac:dyDescent="0.3">
      <c r="A16" s="10"/>
      <c r="B16" s="25" t="s">
        <v>256</v>
      </c>
      <c r="C16" s="10"/>
      <c r="D16" s="4">
        <f>SUM(OSRRefD16x_0)</f>
        <v>6094.1100000000006</v>
      </c>
      <c r="E16" s="4"/>
      <c r="F16" s="11">
        <f t="shared" ref="F16:F18" si="6">IF(D$12=0,0,D16/D$12)</f>
        <v>0.30930941600248912</v>
      </c>
      <c r="G16" s="4"/>
      <c r="H16" s="4">
        <f>SUM(OSRRefH16x_0)</f>
        <v>0</v>
      </c>
      <c r="I16" s="4"/>
      <c r="J16" s="11">
        <f t="shared" ref="J16:J18" si="7">IF(H$12=0,0,H16/H$12)</f>
        <v>0</v>
      </c>
      <c r="K16" s="4"/>
      <c r="L16" s="4">
        <f t="shared" ref="L16:L18" si="8">+D16-H16</f>
        <v>6094.1100000000006</v>
      </c>
      <c r="M16" s="4"/>
      <c r="N16" s="11">
        <f t="shared" ref="N16:N18" si="9">IF(H16=0,0,L16/H16)</f>
        <v>0</v>
      </c>
      <c r="O16" s="10"/>
      <c r="P16" s="4">
        <f>SUM(OSRRefP16x_0)</f>
        <v>6094.1100000000006</v>
      </c>
      <c r="Q16" s="4"/>
      <c r="R16" s="11">
        <f t="shared" ref="R16:R18" si="10">IF(P$12=0,0,P16/P$12)</f>
        <v>0.30930941600248912</v>
      </c>
      <c r="S16" s="4"/>
      <c r="T16" s="4">
        <f>SUM(OSRRefT16x_0)</f>
        <v>0</v>
      </c>
      <c r="U16" s="4"/>
      <c r="V16" s="11">
        <f t="shared" ref="V16:V18" si="11">IF(T$12=0,0,T16/T$12)</f>
        <v>0</v>
      </c>
      <c r="W16" s="4"/>
      <c r="X16" s="4">
        <f t="shared" ref="X16:X18" si="12">+P16-T16</f>
        <v>6094.1100000000006</v>
      </c>
      <c r="Y16" s="4"/>
      <c r="Z16" s="11">
        <f t="shared" ref="Z16:Z18" si="13">IF(T16=0,0,X16/T16)</f>
        <v>0</v>
      </c>
    </row>
    <row r="17" spans="1:26" s="24" customFormat="1" hidden="1" outlineLevel="1" x14ac:dyDescent="0.3">
      <c r="A17" s="50"/>
      <c r="B17" s="12" t="str">
        <f>CONCATENATE("          ", "5053", " - ", "PURCHASES @ COST-FOOD")</f>
        <v xml:space="preserve">          5053 - PURCHASES @ COST-FOOD</v>
      </c>
      <c r="C17" s="12"/>
      <c r="D17" s="3">
        <v>9259.11</v>
      </c>
      <c r="E17" s="3"/>
      <c r="F17" s="22">
        <f t="shared" si="6"/>
        <v>0.46995047788812588</v>
      </c>
      <c r="G17" s="3"/>
      <c r="H17" s="3"/>
      <c r="I17" s="3"/>
      <c r="J17" s="22">
        <f t="shared" si="7"/>
        <v>0</v>
      </c>
      <c r="K17" s="3"/>
      <c r="L17" s="3">
        <f t="shared" si="8"/>
        <v>9259.11</v>
      </c>
      <c r="M17" s="3"/>
      <c r="N17" s="22">
        <f t="shared" si="9"/>
        <v>0</v>
      </c>
      <c r="O17" s="12"/>
      <c r="P17" s="3">
        <v>9259.11</v>
      </c>
      <c r="Q17" s="3"/>
      <c r="R17" s="22">
        <f t="shared" si="10"/>
        <v>0.46995047788812588</v>
      </c>
      <c r="S17" s="3"/>
      <c r="T17" s="3"/>
      <c r="U17" s="3"/>
      <c r="V17" s="22">
        <f t="shared" si="11"/>
        <v>0</v>
      </c>
      <c r="W17" s="3"/>
      <c r="X17" s="3">
        <f t="shared" si="12"/>
        <v>9259.11</v>
      </c>
      <c r="Y17" s="3"/>
      <c r="Z17" s="22">
        <f t="shared" si="13"/>
        <v>0</v>
      </c>
    </row>
    <row r="18" spans="1:26" s="24" customFormat="1" hidden="1" outlineLevel="1" x14ac:dyDescent="0.3">
      <c r="A18" s="50"/>
      <c r="B18" s="12" t="str">
        <f>CONCATENATE("          ", "5059", " - ", "PURCHASES @ COST-FOOD")</f>
        <v xml:space="preserve">          5059 - PURCHASES @ COST-FOOD</v>
      </c>
      <c r="C18" s="12"/>
      <c r="D18" s="3">
        <v>-3165</v>
      </c>
      <c r="E18" s="3"/>
      <c r="F18" s="22">
        <f t="shared" si="6"/>
        <v>-0.16064106188563679</v>
      </c>
      <c r="G18" s="3"/>
      <c r="H18" s="3"/>
      <c r="I18" s="3"/>
      <c r="J18" s="22">
        <f t="shared" si="7"/>
        <v>0</v>
      </c>
      <c r="K18" s="3"/>
      <c r="L18" s="3">
        <f t="shared" si="8"/>
        <v>-3165</v>
      </c>
      <c r="M18" s="3"/>
      <c r="N18" s="22">
        <f t="shared" si="9"/>
        <v>0</v>
      </c>
      <c r="O18" s="12"/>
      <c r="P18" s="3">
        <v>-3165</v>
      </c>
      <c r="Q18" s="3"/>
      <c r="R18" s="22">
        <f t="shared" si="10"/>
        <v>-0.16064106188563679</v>
      </c>
      <c r="S18" s="3"/>
      <c r="T18" s="3"/>
      <c r="U18" s="3"/>
      <c r="V18" s="22">
        <f t="shared" si="11"/>
        <v>0</v>
      </c>
      <c r="W18" s="3"/>
      <c r="X18" s="3">
        <f t="shared" si="12"/>
        <v>-3165</v>
      </c>
      <c r="Y18" s="3"/>
      <c r="Z18" s="22">
        <f t="shared" si="13"/>
        <v>0</v>
      </c>
    </row>
    <row r="19" spans="1:26" x14ac:dyDescent="0.3">
      <c r="A19" s="9"/>
      <c r="B19" s="10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10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23" customFormat="1" x14ac:dyDescent="0.3">
      <c r="A20" s="10"/>
      <c r="B20" s="26" t="s">
        <v>107</v>
      </c>
      <c r="C20" s="26"/>
      <c r="D20" s="20">
        <f>D12-D16</f>
        <v>13608.199999999997</v>
      </c>
      <c r="E20" s="13"/>
      <c r="F20" s="21">
        <f>IF(D$12=0,0,D20/D$12)</f>
        <v>0.69069058399751093</v>
      </c>
      <c r="G20" s="13"/>
      <c r="H20" s="20">
        <f>H12-H16</f>
        <v>0</v>
      </c>
      <c r="I20" s="13"/>
      <c r="J20" s="21">
        <f>IF(H$12=0,0,H20/H$12)</f>
        <v>0</v>
      </c>
      <c r="K20" s="16"/>
      <c r="L20" s="20">
        <f>+D20-H20</f>
        <v>13608.199999999997</v>
      </c>
      <c r="M20" s="16"/>
      <c r="N20" s="21">
        <f>IF(H20=0,0,L20/H20)</f>
        <v>0</v>
      </c>
      <c r="O20" s="25"/>
      <c r="P20" s="20">
        <f>P12-P16</f>
        <v>13608.199999999997</v>
      </c>
      <c r="Q20" s="13"/>
      <c r="R20" s="21">
        <f>IF(P$12=0,0,P20/P$12)</f>
        <v>0.69069058399751093</v>
      </c>
      <c r="S20" s="13"/>
      <c r="T20" s="20">
        <f>T12-T16</f>
        <v>0</v>
      </c>
      <c r="U20" s="13"/>
      <c r="V20" s="21">
        <f>IF(T$12=0,0,T20/T$12)</f>
        <v>0</v>
      </c>
      <c r="W20" s="16"/>
      <c r="X20" s="20">
        <f>+P20-T20</f>
        <v>13608.199999999997</v>
      </c>
      <c r="Y20" s="16"/>
      <c r="Z20" s="21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294</v>
      </c>
      <c r="C22" s="10"/>
      <c r="D22" s="19">
        <f>SUM(OSRRefD22x_0)</f>
        <v>60021.139999999985</v>
      </c>
      <c r="E22" s="19"/>
      <c r="F22" s="35">
        <f t="shared" ref="F22:F31" si="14">IF(D$12=0,0,D22/D$12)</f>
        <v>3.0464011580367982</v>
      </c>
      <c r="G22" s="19"/>
      <c r="H22" s="19">
        <f>SUM(OSRRefH22x_0)</f>
        <v>56656.840000000004</v>
      </c>
      <c r="I22" s="19"/>
      <c r="J22" s="35">
        <f t="shared" ref="J22:J31" si="15">IF(H$12=0,0,H22/H$12)</f>
        <v>0</v>
      </c>
      <c r="K22" s="4"/>
      <c r="L22" s="19">
        <f t="shared" ref="L22:L31" si="16">+D22-H22</f>
        <v>3364.2999999999811</v>
      </c>
      <c r="M22" s="4"/>
      <c r="N22" s="35">
        <f t="shared" ref="N22:N31" si="17">IF(H22=0,0,L22/H22)</f>
        <v>5.938029724213318E-2</v>
      </c>
      <c r="O22" s="10"/>
      <c r="P22" s="19">
        <f>SUM(OSRRefP22x_0)</f>
        <v>60021.139999999985</v>
      </c>
      <c r="Q22" s="19"/>
      <c r="R22" s="35">
        <f t="shared" ref="R22:R31" si="18">IF(P$12=0,0,P22/P$12)</f>
        <v>3.0464011580367982</v>
      </c>
      <c r="S22" s="19"/>
      <c r="T22" s="19">
        <f>SUM(OSRRefT22x_0)</f>
        <v>56656.840000000004</v>
      </c>
      <c r="U22" s="19"/>
      <c r="V22" s="35">
        <f t="shared" ref="V22:V31" si="19">IF(T$12=0,0,T22/T$12)</f>
        <v>0</v>
      </c>
      <c r="W22" s="4"/>
      <c r="X22" s="19">
        <f t="shared" ref="X22:X31" si="20">+P22-T22</f>
        <v>3364.2999999999811</v>
      </c>
      <c r="Y22" s="4"/>
      <c r="Z22" s="35">
        <f t="shared" ref="Z22:Z31" si="21">IF(T22=0,0,X22/T22)</f>
        <v>5.938029724213318E-2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10097.829999999998</v>
      </c>
      <c r="E23" s="1"/>
      <c r="F23" s="5">
        <f t="shared" si="14"/>
        <v>0.51252010551047056</v>
      </c>
      <c r="G23" s="1"/>
      <c r="H23" s="1">
        <f>SUM(OSRRefH22_0x_0)</f>
        <v>7755.9</v>
      </c>
      <c r="I23" s="1"/>
      <c r="J23" s="5">
        <f t="shared" si="15"/>
        <v>0</v>
      </c>
      <c r="K23" s="1"/>
      <c r="L23" s="1">
        <f t="shared" si="16"/>
        <v>2341.9299999999985</v>
      </c>
      <c r="M23" s="1"/>
      <c r="N23" s="5">
        <f t="shared" si="17"/>
        <v>0.30195464098299341</v>
      </c>
      <c r="O23" s="14"/>
      <c r="P23" s="1">
        <f>SUM(OSRRefP22_0x_0)</f>
        <v>10097.829999999998</v>
      </c>
      <c r="Q23" s="1"/>
      <c r="R23" s="5">
        <f t="shared" si="18"/>
        <v>0.51252010551047056</v>
      </c>
      <c r="S23" s="1"/>
      <c r="T23" s="1">
        <f>SUM(OSRRefT22_0x_0)</f>
        <v>7755.9</v>
      </c>
      <c r="U23" s="1"/>
      <c r="V23" s="5">
        <f t="shared" si="19"/>
        <v>0</v>
      </c>
      <c r="W23" s="1"/>
      <c r="X23" s="1">
        <f t="shared" si="20"/>
        <v>2341.9299999999985</v>
      </c>
      <c r="Y23" s="1"/>
      <c r="Z23" s="5">
        <f t="shared" si="21"/>
        <v>0.30195464098299341</v>
      </c>
    </row>
    <row r="24" spans="1:26" s="24" customFormat="1" hidden="1" outlineLevel="2" x14ac:dyDescent="0.3">
      <c r="A24" s="27"/>
      <c r="B24" s="12" t="str">
        <f>CONCATENATE("          ", "6111", " - ", "F.I.C.A.")</f>
        <v xml:space="preserve">          6111 - F.I.C.A.</v>
      </c>
      <c r="C24" s="12"/>
      <c r="D24" s="8">
        <v>1121.3499999999999</v>
      </c>
      <c r="E24" s="3"/>
      <c r="F24" s="7">
        <f t="shared" si="14"/>
        <v>5.6914646049118098E-2</v>
      </c>
      <c r="G24" s="3"/>
      <c r="H24" s="8">
        <v>1011.28</v>
      </c>
      <c r="I24" s="3"/>
      <c r="J24" s="7">
        <f t="shared" si="15"/>
        <v>0</v>
      </c>
      <c r="K24" s="3"/>
      <c r="L24" s="8">
        <f t="shared" si="16"/>
        <v>110.06999999999994</v>
      </c>
      <c r="M24" s="3"/>
      <c r="N24" s="7">
        <f t="shared" si="17"/>
        <v>0.10884225931492755</v>
      </c>
      <c r="O24" s="12"/>
      <c r="P24" s="8">
        <v>1121.3499999999999</v>
      </c>
      <c r="Q24" s="3"/>
      <c r="R24" s="7">
        <f t="shared" si="18"/>
        <v>5.6914646049118098E-2</v>
      </c>
      <c r="S24" s="3"/>
      <c r="T24" s="8">
        <v>1011.28</v>
      </c>
      <c r="U24" s="3"/>
      <c r="V24" s="7">
        <f t="shared" si="19"/>
        <v>0</v>
      </c>
      <c r="W24" s="3"/>
      <c r="X24" s="8">
        <f t="shared" si="20"/>
        <v>110.06999999999994</v>
      </c>
      <c r="Y24" s="3"/>
      <c r="Z24" s="7">
        <f t="shared" si="21"/>
        <v>0.10884225931492755</v>
      </c>
    </row>
    <row r="25" spans="1:26" s="24" customFormat="1" hidden="1" outlineLevel="2" x14ac:dyDescent="0.3">
      <c r="A25" s="27"/>
      <c r="B25" s="12" t="str">
        <f>CONCATENATE("          ", "6112", " - ", "COMPENSATION INSURANCE")</f>
        <v xml:space="preserve">          6112 - COMPENSATION INSURANCE</v>
      </c>
      <c r="C25" s="12"/>
      <c r="D25" s="8">
        <v>527.62</v>
      </c>
      <c r="E25" s="3"/>
      <c r="F25" s="7">
        <f t="shared" si="14"/>
        <v>2.6779600970647608E-2</v>
      </c>
      <c r="G25" s="3"/>
      <c r="H25" s="8">
        <v>443.14</v>
      </c>
      <c r="I25" s="3"/>
      <c r="J25" s="7">
        <f t="shared" si="15"/>
        <v>0</v>
      </c>
      <c r="K25" s="3"/>
      <c r="L25" s="8">
        <f t="shared" si="16"/>
        <v>84.480000000000018</v>
      </c>
      <c r="M25" s="3"/>
      <c r="N25" s="7">
        <f t="shared" si="17"/>
        <v>0.19063952701177961</v>
      </c>
      <c r="O25" s="12"/>
      <c r="P25" s="8">
        <v>527.62</v>
      </c>
      <c r="Q25" s="3"/>
      <c r="R25" s="7">
        <f t="shared" si="18"/>
        <v>2.6779600970647608E-2</v>
      </c>
      <c r="S25" s="3"/>
      <c r="T25" s="8">
        <v>443.14</v>
      </c>
      <c r="U25" s="3"/>
      <c r="V25" s="7">
        <f t="shared" si="19"/>
        <v>0</v>
      </c>
      <c r="W25" s="3"/>
      <c r="X25" s="8">
        <f t="shared" si="20"/>
        <v>84.480000000000018</v>
      </c>
      <c r="Y25" s="3"/>
      <c r="Z25" s="7">
        <f t="shared" si="21"/>
        <v>0.19063952701177961</v>
      </c>
    </row>
    <row r="26" spans="1:26" s="24" customFormat="1" hidden="1" outlineLevel="2" x14ac:dyDescent="0.3">
      <c r="A26" s="27"/>
      <c r="B26" s="12" t="str">
        <f>CONCATENATE("          ", "6113", " - ", "GROUP INSURANCE")</f>
        <v xml:space="preserve">          6113 - GROUP INSURANCE</v>
      </c>
      <c r="C26" s="12"/>
      <c r="D26" s="8">
        <v>5217.82</v>
      </c>
      <c r="E26" s="3"/>
      <c r="F26" s="7">
        <f t="shared" si="14"/>
        <v>0.26483290538013055</v>
      </c>
      <c r="G26" s="3"/>
      <c r="H26" s="8">
        <v>3371.81</v>
      </c>
      <c r="I26" s="3"/>
      <c r="J26" s="7">
        <f t="shared" si="15"/>
        <v>0</v>
      </c>
      <c r="K26" s="3"/>
      <c r="L26" s="8">
        <f t="shared" si="16"/>
        <v>1846.0099999999998</v>
      </c>
      <c r="M26" s="3"/>
      <c r="N26" s="7">
        <f t="shared" si="17"/>
        <v>0.54748339912391264</v>
      </c>
      <c r="O26" s="12"/>
      <c r="P26" s="8">
        <v>5217.82</v>
      </c>
      <c r="Q26" s="3"/>
      <c r="R26" s="7">
        <f t="shared" si="18"/>
        <v>0.26483290538013055</v>
      </c>
      <c r="S26" s="3"/>
      <c r="T26" s="8">
        <v>3371.81</v>
      </c>
      <c r="U26" s="3"/>
      <c r="V26" s="7">
        <f t="shared" si="19"/>
        <v>0</v>
      </c>
      <c r="W26" s="3"/>
      <c r="X26" s="8">
        <f t="shared" si="20"/>
        <v>1846.0099999999998</v>
      </c>
      <c r="Y26" s="3"/>
      <c r="Z26" s="7">
        <f t="shared" si="21"/>
        <v>0.54748339912391264</v>
      </c>
    </row>
    <row r="27" spans="1:26" s="24" customFormat="1" hidden="1" outlineLevel="2" x14ac:dyDescent="0.3">
      <c r="A27" s="27"/>
      <c r="B27" s="12" t="str">
        <f>CONCATENATE("          ", "6114", " - ", "STATE UNEMPLOYMENT INSURANCE")</f>
        <v xml:space="preserve">          6114 - STATE UNEMPLOYMENT INSURANCE</v>
      </c>
      <c r="C27" s="12"/>
      <c r="D27" s="8">
        <v>38.11</v>
      </c>
      <c r="E27" s="3"/>
      <c r="F27" s="7">
        <f t="shared" si="14"/>
        <v>1.934290953700353E-3</v>
      </c>
      <c r="G27" s="3"/>
      <c r="H27" s="8">
        <v>47.76</v>
      </c>
      <c r="I27" s="3"/>
      <c r="J27" s="7">
        <f t="shared" si="15"/>
        <v>0</v>
      </c>
      <c r="K27" s="3"/>
      <c r="L27" s="8">
        <f t="shared" si="16"/>
        <v>-9.6499999999999986</v>
      </c>
      <c r="M27" s="3"/>
      <c r="N27" s="7">
        <f t="shared" si="17"/>
        <v>-0.20205192629815744</v>
      </c>
      <c r="O27" s="12"/>
      <c r="P27" s="8">
        <v>38.11</v>
      </c>
      <c r="Q27" s="3"/>
      <c r="R27" s="7">
        <f t="shared" si="18"/>
        <v>1.934290953700353E-3</v>
      </c>
      <c r="S27" s="3"/>
      <c r="T27" s="8">
        <v>47.76</v>
      </c>
      <c r="U27" s="3"/>
      <c r="V27" s="7">
        <f t="shared" si="19"/>
        <v>0</v>
      </c>
      <c r="W27" s="3"/>
      <c r="X27" s="8">
        <f t="shared" si="20"/>
        <v>-9.6499999999999986</v>
      </c>
      <c r="Y27" s="3"/>
      <c r="Z27" s="7">
        <f t="shared" si="21"/>
        <v>-0.20205192629815744</v>
      </c>
    </row>
    <row r="28" spans="1:26" s="24" customFormat="1" hidden="1" outlineLevel="2" x14ac:dyDescent="0.3">
      <c r="A28" s="27"/>
      <c r="B28" s="12" t="str">
        <f>CONCATENATE("          ", "6115", " - ", "P.E.R.S.")</f>
        <v xml:space="preserve">          6115 - P.E.R.S.</v>
      </c>
      <c r="C28" s="12"/>
      <c r="D28" s="8">
        <v>870.61</v>
      </c>
      <c r="E28" s="3"/>
      <c r="F28" s="7">
        <f t="shared" si="14"/>
        <v>4.4188219553950789E-2</v>
      </c>
      <c r="G28" s="3"/>
      <c r="H28" s="8">
        <v>1085.25</v>
      </c>
      <c r="I28" s="3"/>
      <c r="J28" s="7">
        <f t="shared" si="15"/>
        <v>0</v>
      </c>
      <c r="K28" s="3"/>
      <c r="L28" s="8">
        <f t="shared" si="16"/>
        <v>-214.64</v>
      </c>
      <c r="M28" s="3"/>
      <c r="N28" s="7">
        <f t="shared" si="17"/>
        <v>-0.19777931352222988</v>
      </c>
      <c r="O28" s="12"/>
      <c r="P28" s="8">
        <v>870.61</v>
      </c>
      <c r="Q28" s="3"/>
      <c r="R28" s="7">
        <f t="shared" si="18"/>
        <v>4.4188219553950789E-2</v>
      </c>
      <c r="S28" s="3"/>
      <c r="T28" s="8">
        <v>1085.25</v>
      </c>
      <c r="U28" s="3"/>
      <c r="V28" s="7">
        <f t="shared" si="19"/>
        <v>0</v>
      </c>
      <c r="W28" s="3"/>
      <c r="X28" s="8">
        <f t="shared" si="20"/>
        <v>-214.64</v>
      </c>
      <c r="Y28" s="3"/>
      <c r="Z28" s="7">
        <f t="shared" si="21"/>
        <v>-0.19777931352222988</v>
      </c>
    </row>
    <row r="29" spans="1:26" s="24" customFormat="1" hidden="1" outlineLevel="2" x14ac:dyDescent="0.3">
      <c r="A29" s="27"/>
      <c r="B29" s="12" t="str">
        <f>CONCATENATE("          ", "6118", " - ", "VACATION")</f>
        <v xml:space="preserve">          6118 - VACATION</v>
      </c>
      <c r="C29" s="12"/>
      <c r="D29" s="8">
        <v>951.06</v>
      </c>
      <c r="E29" s="3"/>
      <c r="F29" s="7">
        <f t="shared" si="14"/>
        <v>4.8271497098563571E-2</v>
      </c>
      <c r="G29" s="3"/>
      <c r="H29" s="8">
        <v>915.11</v>
      </c>
      <c r="I29" s="3"/>
      <c r="J29" s="7">
        <f t="shared" si="15"/>
        <v>0</v>
      </c>
      <c r="K29" s="3"/>
      <c r="L29" s="8">
        <f t="shared" si="16"/>
        <v>35.949999999999932</v>
      </c>
      <c r="M29" s="3"/>
      <c r="N29" s="7">
        <f t="shared" si="17"/>
        <v>3.9284894712111038E-2</v>
      </c>
      <c r="O29" s="12"/>
      <c r="P29" s="8">
        <v>951.06</v>
      </c>
      <c r="Q29" s="3"/>
      <c r="R29" s="7">
        <f t="shared" si="18"/>
        <v>4.8271497098563571E-2</v>
      </c>
      <c r="S29" s="3"/>
      <c r="T29" s="8">
        <v>915.11</v>
      </c>
      <c r="U29" s="3"/>
      <c r="V29" s="7">
        <f t="shared" si="19"/>
        <v>0</v>
      </c>
      <c r="W29" s="3"/>
      <c r="X29" s="8">
        <f t="shared" si="20"/>
        <v>35.949999999999932</v>
      </c>
      <c r="Y29" s="3"/>
      <c r="Z29" s="7">
        <f t="shared" si="21"/>
        <v>3.9284894712111038E-2</v>
      </c>
    </row>
    <row r="30" spans="1:26" s="24" customFormat="1" hidden="1" outlineLevel="2" x14ac:dyDescent="0.3">
      <c r="A30" s="27"/>
      <c r="B30" s="12" t="str">
        <f>CONCATENATE("          ", "6119", " - ", "SICK LEAVE")</f>
        <v xml:space="preserve">          6119 - SICK LEAVE</v>
      </c>
      <c r="C30" s="12"/>
      <c r="D30" s="8">
        <v>875.97</v>
      </c>
      <c r="E30" s="3"/>
      <c r="F30" s="7">
        <f t="shared" si="14"/>
        <v>4.4460268872025671E-2</v>
      </c>
      <c r="G30" s="3"/>
      <c r="H30" s="8">
        <v>609.79999999999995</v>
      </c>
      <c r="I30" s="3"/>
      <c r="J30" s="7">
        <f t="shared" si="15"/>
        <v>0</v>
      </c>
      <c r="K30" s="3"/>
      <c r="L30" s="8">
        <f t="shared" si="16"/>
        <v>266.17000000000007</v>
      </c>
      <c r="M30" s="3"/>
      <c r="N30" s="7">
        <f t="shared" si="17"/>
        <v>0.43648737290915068</v>
      </c>
      <c r="O30" s="12"/>
      <c r="P30" s="8">
        <v>875.97</v>
      </c>
      <c r="Q30" s="3"/>
      <c r="R30" s="7">
        <f t="shared" si="18"/>
        <v>4.4460268872025671E-2</v>
      </c>
      <c r="S30" s="3"/>
      <c r="T30" s="8">
        <v>609.79999999999995</v>
      </c>
      <c r="U30" s="3"/>
      <c r="V30" s="7">
        <f t="shared" si="19"/>
        <v>0</v>
      </c>
      <c r="W30" s="3"/>
      <c r="X30" s="8">
        <f t="shared" si="20"/>
        <v>266.17000000000007</v>
      </c>
      <c r="Y30" s="3"/>
      <c r="Z30" s="7">
        <f t="shared" si="21"/>
        <v>0.43648737290915068</v>
      </c>
    </row>
    <row r="31" spans="1:26" s="24" customFormat="1" hidden="1" outlineLevel="2" x14ac:dyDescent="0.3">
      <c r="A31" s="27"/>
      <c r="B31" s="12" t="str">
        <f>CONCATENATE("          ", "6156", " - ", "EMPLOYEE MEALS")</f>
        <v xml:space="preserve">          6156 - EMPLOYEE MEALS</v>
      </c>
      <c r="C31" s="12"/>
      <c r="D31" s="8">
        <v>495.29</v>
      </c>
      <c r="E31" s="3"/>
      <c r="F31" s="7">
        <f t="shared" si="14"/>
        <v>2.5138676632333979E-2</v>
      </c>
      <c r="G31" s="3"/>
      <c r="H31" s="8">
        <v>271.75</v>
      </c>
      <c r="I31" s="3"/>
      <c r="J31" s="7">
        <f t="shared" si="15"/>
        <v>0</v>
      </c>
      <c r="K31" s="3"/>
      <c r="L31" s="8">
        <f t="shared" si="16"/>
        <v>223.54000000000002</v>
      </c>
      <c r="M31" s="3"/>
      <c r="N31" s="7">
        <f t="shared" si="17"/>
        <v>0.82259429622815095</v>
      </c>
      <c r="O31" s="12"/>
      <c r="P31" s="8">
        <v>495.29</v>
      </c>
      <c r="Q31" s="3"/>
      <c r="R31" s="7">
        <f t="shared" si="18"/>
        <v>2.5138676632333979E-2</v>
      </c>
      <c r="S31" s="3"/>
      <c r="T31" s="8">
        <v>271.75</v>
      </c>
      <c r="U31" s="3"/>
      <c r="V31" s="7">
        <f t="shared" si="19"/>
        <v>0</v>
      </c>
      <c r="W31" s="3"/>
      <c r="X31" s="8">
        <f t="shared" si="20"/>
        <v>223.54000000000002</v>
      </c>
      <c r="Y31" s="3"/>
      <c r="Z31" s="7">
        <f t="shared" si="21"/>
        <v>0.82259429622815095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17651.629999999997</v>
      </c>
      <c r="E32" s="1"/>
      <c r="F32" s="5">
        <f t="shared" ref="F32:F36" si="22">IF(D$12=0,0,D32/D$12)</f>
        <v>0.89591677321085694</v>
      </c>
      <c r="G32" s="1"/>
      <c r="H32" s="1">
        <f>SUM(OSRRefH22_1x_0)</f>
        <v>17350.91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300.71999999999753</v>
      </c>
      <c r="M32" s="1"/>
      <c r="N32" s="5">
        <f t="shared" ref="N32:N36" si="25">IF(H32=0,0,L32/H32)</f>
        <v>1.7331655803643587E-2</v>
      </c>
      <c r="O32" s="14"/>
      <c r="P32" s="1">
        <f>SUM(OSRRefP22_1x_0)</f>
        <v>17651.629999999997</v>
      </c>
      <c r="Q32" s="1"/>
      <c r="R32" s="5">
        <f t="shared" ref="R32:R36" si="26">IF(P$12=0,0,P32/P$12)</f>
        <v>0.89591677321085694</v>
      </c>
      <c r="S32" s="1"/>
      <c r="T32" s="1">
        <f>SUM(OSRRefT22_1x_0)</f>
        <v>17350.91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300.71999999999753</v>
      </c>
      <c r="Y32" s="1"/>
      <c r="Z32" s="5">
        <f t="shared" ref="Z32:Z36" si="29">IF(T32=0,0,X32/T32)</f>
        <v>1.7331655803643587E-2</v>
      </c>
    </row>
    <row r="33" spans="1:26" s="24" customFormat="1" hidden="1" outlineLevel="2" x14ac:dyDescent="0.3">
      <c r="A33" s="27"/>
      <c r="B33" s="12" t="str">
        <f>CONCATENATE("          ", "6002", " - ", "STAFF SALARIES")</f>
        <v xml:space="preserve">          6002 - STAFF SALARIES</v>
      </c>
      <c r="C33" s="12"/>
      <c r="D33" s="8">
        <v>11462.58</v>
      </c>
      <c r="E33" s="3"/>
      <c r="F33" s="7">
        <f t="shared" si="22"/>
        <v>0.58178863290649685</v>
      </c>
      <c r="G33" s="3"/>
      <c r="H33" s="8">
        <v>13229.18</v>
      </c>
      <c r="I33" s="3"/>
      <c r="J33" s="7">
        <f t="shared" si="23"/>
        <v>0</v>
      </c>
      <c r="K33" s="3"/>
      <c r="L33" s="8">
        <f t="shared" si="24"/>
        <v>-1766.6000000000004</v>
      </c>
      <c r="M33" s="3"/>
      <c r="N33" s="7">
        <f t="shared" si="25"/>
        <v>-0.13353813312692098</v>
      </c>
      <c r="O33" s="12"/>
      <c r="P33" s="8">
        <v>11462.58</v>
      </c>
      <c r="Q33" s="3"/>
      <c r="R33" s="7">
        <f t="shared" si="26"/>
        <v>0.58178863290649685</v>
      </c>
      <c r="S33" s="3"/>
      <c r="T33" s="8">
        <v>13229.18</v>
      </c>
      <c r="U33" s="3"/>
      <c r="V33" s="7">
        <f t="shared" si="27"/>
        <v>0</v>
      </c>
      <c r="W33" s="3"/>
      <c r="X33" s="8">
        <f t="shared" si="28"/>
        <v>-1766.6000000000004</v>
      </c>
      <c r="Y33" s="3"/>
      <c r="Z33" s="7">
        <f t="shared" si="29"/>
        <v>-0.13353813312692098</v>
      </c>
    </row>
    <row r="34" spans="1:26" s="24" customFormat="1" hidden="1" outlineLevel="2" x14ac:dyDescent="0.3">
      <c r="A34" s="27"/>
      <c r="B34" s="12" t="str">
        <f>CONCATENATE("          ", "6004", " - ", "STAFF HOURLY")</f>
        <v xml:space="preserve">          6004 - STAFF HOURLY</v>
      </c>
      <c r="C34" s="12"/>
      <c r="D34" s="8">
        <v>2994.99</v>
      </c>
      <c r="E34" s="3"/>
      <c r="F34" s="7">
        <f t="shared" si="22"/>
        <v>0.15201212446662346</v>
      </c>
      <c r="G34" s="3"/>
      <c r="H34" s="8">
        <v>2771.73</v>
      </c>
      <c r="I34" s="3"/>
      <c r="J34" s="7">
        <f t="shared" si="23"/>
        <v>0</v>
      </c>
      <c r="K34" s="3"/>
      <c r="L34" s="8">
        <f t="shared" si="24"/>
        <v>223.25999999999976</v>
      </c>
      <c r="M34" s="3"/>
      <c r="N34" s="7">
        <f t="shared" si="25"/>
        <v>8.0548971220140403E-2</v>
      </c>
      <c r="O34" s="12"/>
      <c r="P34" s="8">
        <v>2994.99</v>
      </c>
      <c r="Q34" s="3"/>
      <c r="R34" s="7">
        <f t="shared" si="26"/>
        <v>0.15201212446662346</v>
      </c>
      <c r="S34" s="3"/>
      <c r="T34" s="8">
        <v>2771.73</v>
      </c>
      <c r="U34" s="3"/>
      <c r="V34" s="7">
        <f t="shared" si="27"/>
        <v>0</v>
      </c>
      <c r="W34" s="3"/>
      <c r="X34" s="8">
        <f t="shared" si="28"/>
        <v>223.25999999999976</v>
      </c>
      <c r="Y34" s="3"/>
      <c r="Z34" s="7">
        <f t="shared" si="29"/>
        <v>8.0548971220140403E-2</v>
      </c>
    </row>
    <row r="35" spans="1:26" s="24" customFormat="1" hidden="1" outlineLevel="2" x14ac:dyDescent="0.3">
      <c r="A35" s="27"/>
      <c r="B35" s="12" t="str">
        <f>CONCATENATE("          ", "6005", " - ", "TEMPORARY WAGES-HOURLY")</f>
        <v xml:space="preserve">          6005 - TEMPORARY WAGES-HOURLY</v>
      </c>
      <c r="C35" s="12"/>
      <c r="D35" s="8">
        <v>1811.06</v>
      </c>
      <c r="E35" s="3"/>
      <c r="F35" s="7">
        <f t="shared" si="22"/>
        <v>9.1921201118041501E-2</v>
      </c>
      <c r="G35" s="3"/>
      <c r="H35" s="8"/>
      <c r="I35" s="3"/>
      <c r="J35" s="7">
        <f t="shared" si="23"/>
        <v>0</v>
      </c>
      <c r="K35" s="3"/>
      <c r="L35" s="8">
        <f t="shared" si="24"/>
        <v>1811.06</v>
      </c>
      <c r="M35" s="3"/>
      <c r="N35" s="7">
        <f t="shared" si="25"/>
        <v>0</v>
      </c>
      <c r="O35" s="12"/>
      <c r="P35" s="8">
        <v>1811.06</v>
      </c>
      <c r="Q35" s="3"/>
      <c r="R35" s="7">
        <f t="shared" si="26"/>
        <v>9.1921201118041501E-2</v>
      </c>
      <c r="S35" s="3"/>
      <c r="T35" s="8"/>
      <c r="U35" s="3"/>
      <c r="V35" s="7">
        <f t="shared" si="27"/>
        <v>0</v>
      </c>
      <c r="W35" s="3"/>
      <c r="X35" s="8">
        <f t="shared" si="28"/>
        <v>1811.06</v>
      </c>
      <c r="Y35" s="3"/>
      <c r="Z35" s="7">
        <f t="shared" si="29"/>
        <v>0</v>
      </c>
    </row>
    <row r="36" spans="1:26" s="24" customFormat="1" hidden="1" outlineLevel="2" x14ac:dyDescent="0.3">
      <c r="A36" s="27"/>
      <c r="B36" s="12" t="str">
        <f>CONCATENATE("          ", "6007", " - ", "STUDENT HOURLY")</f>
        <v xml:space="preserve">          6007 - STUDENT HOURLY</v>
      </c>
      <c r="C36" s="12"/>
      <c r="D36" s="8">
        <v>1383</v>
      </c>
      <c r="E36" s="3"/>
      <c r="F36" s="7">
        <f t="shared" si="22"/>
        <v>7.0194814719695312E-2</v>
      </c>
      <c r="G36" s="3"/>
      <c r="H36" s="8">
        <v>1350</v>
      </c>
      <c r="I36" s="3"/>
      <c r="J36" s="7">
        <f t="shared" si="23"/>
        <v>0</v>
      </c>
      <c r="K36" s="3"/>
      <c r="L36" s="8">
        <f t="shared" si="24"/>
        <v>33</v>
      </c>
      <c r="M36" s="3"/>
      <c r="N36" s="7">
        <f t="shared" si="25"/>
        <v>2.4444444444444446E-2</v>
      </c>
      <c r="O36" s="12"/>
      <c r="P36" s="8">
        <v>1383</v>
      </c>
      <c r="Q36" s="3"/>
      <c r="R36" s="7">
        <f t="shared" si="26"/>
        <v>7.0194814719695312E-2</v>
      </c>
      <c r="S36" s="3"/>
      <c r="T36" s="8">
        <v>1350</v>
      </c>
      <c r="U36" s="3"/>
      <c r="V36" s="7">
        <f t="shared" si="27"/>
        <v>0</v>
      </c>
      <c r="W36" s="3"/>
      <c r="X36" s="8">
        <f t="shared" si="28"/>
        <v>33</v>
      </c>
      <c r="Y36" s="3"/>
      <c r="Z36" s="7">
        <f t="shared" si="29"/>
        <v>2.4444444444444446E-2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127.33</v>
      </c>
      <c r="E37" s="1"/>
      <c r="F37" s="5">
        <f t="shared" ref="F37:F45" si="30">IF(D$12=0,0,D37/D$12)</f>
        <v>6.4626939683722368E-3</v>
      </c>
      <c r="G37" s="1"/>
      <c r="H37" s="1">
        <f>SUM(OSRRefH22_2x_0)</f>
        <v>45.97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81.36</v>
      </c>
      <c r="M37" s="1"/>
      <c r="N37" s="5">
        <f t="shared" ref="N37:N45" si="33">IF(H37=0,0,L37/H37)</f>
        <v>1.7698499021100718</v>
      </c>
      <c r="O37" s="14"/>
      <c r="P37" s="1">
        <f>SUM(OSRRefP22_2x_0)</f>
        <v>127.33</v>
      </c>
      <c r="Q37" s="1"/>
      <c r="R37" s="5">
        <f t="shared" ref="R37:R45" si="34">IF(P$12=0,0,P37/P$12)</f>
        <v>6.4626939683722368E-3</v>
      </c>
      <c r="S37" s="1"/>
      <c r="T37" s="1">
        <f>SUM(OSRRefT22_2x_0)</f>
        <v>45.97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81.36</v>
      </c>
      <c r="Y37" s="1"/>
      <c r="Z37" s="5">
        <f t="shared" ref="Z37:Z45" si="37">IF(T37=0,0,X37/T37)</f>
        <v>1.7698499021100718</v>
      </c>
    </row>
    <row r="38" spans="1:26" s="24" customFormat="1" hidden="1" outlineLevel="2" x14ac:dyDescent="0.3">
      <c r="A38" s="27"/>
      <c r="B38" s="12" t="str">
        <f>CONCATENATE("          ", "6362", " - ", "ADVERTISING EXPENSE")</f>
        <v xml:space="preserve">          6362 - ADVERTISING EXPENSE</v>
      </c>
      <c r="C38" s="12"/>
      <c r="D38" s="8">
        <v>127.33</v>
      </c>
      <c r="E38" s="3"/>
      <c r="F38" s="7">
        <f t="shared" si="30"/>
        <v>6.4626939683722368E-3</v>
      </c>
      <c r="G38" s="3"/>
      <c r="H38" s="8">
        <v>45.97</v>
      </c>
      <c r="I38" s="3"/>
      <c r="J38" s="7">
        <f t="shared" si="31"/>
        <v>0</v>
      </c>
      <c r="K38" s="3"/>
      <c r="L38" s="8">
        <f t="shared" si="32"/>
        <v>81.36</v>
      </c>
      <c r="M38" s="3"/>
      <c r="N38" s="7">
        <f t="shared" si="33"/>
        <v>1.7698499021100718</v>
      </c>
      <c r="O38" s="12"/>
      <c r="P38" s="8">
        <v>127.33</v>
      </c>
      <c r="Q38" s="3"/>
      <c r="R38" s="7">
        <f t="shared" si="34"/>
        <v>6.4626939683722368E-3</v>
      </c>
      <c r="S38" s="3"/>
      <c r="T38" s="8">
        <v>45.97</v>
      </c>
      <c r="U38" s="3"/>
      <c r="V38" s="7">
        <f t="shared" si="35"/>
        <v>0</v>
      </c>
      <c r="W38" s="3"/>
      <c r="X38" s="8">
        <f t="shared" si="36"/>
        <v>81.36</v>
      </c>
      <c r="Y38" s="3"/>
      <c r="Z38" s="7">
        <f t="shared" si="37"/>
        <v>1.7698499021100718</v>
      </c>
    </row>
    <row r="39" spans="1:26" s="29" customFormat="1" outlineLevel="1" collapsed="1" x14ac:dyDescent="0.3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-19.02</v>
      </c>
      <c r="E39" s="1"/>
      <c r="F39" s="5">
        <f t="shared" si="30"/>
        <v>-9.6536903540752337E-4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-19.02</v>
      </c>
      <c r="M39" s="1"/>
      <c r="N39" s="5">
        <f t="shared" si="33"/>
        <v>0</v>
      </c>
      <c r="O39" s="14"/>
      <c r="P39" s="1">
        <f>SUM(OSRRefP22_3x_0)</f>
        <v>-19.02</v>
      </c>
      <c r="Q39" s="1"/>
      <c r="R39" s="5">
        <f t="shared" si="34"/>
        <v>-9.6536903540752337E-4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-19.02</v>
      </c>
      <c r="Y39" s="1"/>
      <c r="Z39" s="5">
        <f t="shared" si="37"/>
        <v>0</v>
      </c>
    </row>
    <row r="40" spans="1:26" s="24" customFormat="1" hidden="1" outlineLevel="2" x14ac:dyDescent="0.3">
      <c r="A40" s="27"/>
      <c r="B40" s="12" t="str">
        <f>CONCATENATE("          ", "6272", " - ", "CASH (OVER/SHORT)")</f>
        <v xml:space="preserve">          6272 - CASH (OVER/SHORT)</v>
      </c>
      <c r="C40" s="12"/>
      <c r="D40" s="8">
        <v>-19.02</v>
      </c>
      <c r="E40" s="3"/>
      <c r="F40" s="7">
        <f t="shared" si="30"/>
        <v>-9.6536903540752337E-4</v>
      </c>
      <c r="G40" s="3"/>
      <c r="H40" s="8"/>
      <c r="I40" s="3"/>
      <c r="J40" s="7">
        <f t="shared" si="31"/>
        <v>0</v>
      </c>
      <c r="K40" s="3"/>
      <c r="L40" s="8">
        <f t="shared" si="32"/>
        <v>-19.02</v>
      </c>
      <c r="M40" s="3"/>
      <c r="N40" s="7">
        <f t="shared" si="33"/>
        <v>0</v>
      </c>
      <c r="O40" s="12"/>
      <c r="P40" s="8">
        <v>-19.02</v>
      </c>
      <c r="Q40" s="3"/>
      <c r="R40" s="7">
        <f t="shared" si="34"/>
        <v>-9.6536903540752337E-4</v>
      </c>
      <c r="S40" s="3"/>
      <c r="T40" s="8"/>
      <c r="U40" s="3"/>
      <c r="V40" s="7">
        <f t="shared" si="35"/>
        <v>0</v>
      </c>
      <c r="W40" s="3"/>
      <c r="X40" s="8">
        <f t="shared" si="36"/>
        <v>-19.02</v>
      </c>
      <c r="Y40" s="3"/>
      <c r="Z40" s="7">
        <f t="shared" si="37"/>
        <v>0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690.24</v>
      </c>
      <c r="E41" s="1"/>
      <c r="F41" s="5">
        <f t="shared" si="30"/>
        <v>3.5033455467912145E-2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690.24</v>
      </c>
      <c r="M41" s="1"/>
      <c r="N41" s="5">
        <f t="shared" si="33"/>
        <v>0</v>
      </c>
      <c r="O41" s="14"/>
      <c r="P41" s="1">
        <f>SUM(OSRRefP22_4x_0)</f>
        <v>690.24</v>
      </c>
      <c r="Q41" s="1"/>
      <c r="R41" s="5">
        <f t="shared" si="34"/>
        <v>3.5033455467912145E-2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690.24</v>
      </c>
      <c r="Y41" s="1"/>
      <c r="Z41" s="5">
        <f t="shared" si="37"/>
        <v>0</v>
      </c>
    </row>
    <row r="42" spans="1:26" s="24" customFormat="1" hidden="1" outlineLevel="2" x14ac:dyDescent="0.3">
      <c r="A42" s="27"/>
      <c r="B42" s="12" t="str">
        <f>CONCATENATE("          ", "6381", " - ", "BANK/CREDIT CARD FEES")</f>
        <v xml:space="preserve">          6381 - BANK/CREDIT CARD FEES</v>
      </c>
      <c r="C42" s="12"/>
      <c r="D42" s="8">
        <v>690.24</v>
      </c>
      <c r="E42" s="3"/>
      <c r="F42" s="7">
        <f t="shared" si="30"/>
        <v>3.5033455467912145E-2</v>
      </c>
      <c r="G42" s="3"/>
      <c r="H42" s="8"/>
      <c r="I42" s="3"/>
      <c r="J42" s="7">
        <f t="shared" si="31"/>
        <v>0</v>
      </c>
      <c r="K42" s="3"/>
      <c r="L42" s="8">
        <f t="shared" si="32"/>
        <v>690.24</v>
      </c>
      <c r="M42" s="3"/>
      <c r="N42" s="7">
        <f t="shared" si="33"/>
        <v>0</v>
      </c>
      <c r="O42" s="12"/>
      <c r="P42" s="8">
        <v>690.24</v>
      </c>
      <c r="Q42" s="3"/>
      <c r="R42" s="7">
        <f t="shared" si="34"/>
        <v>3.5033455467912145E-2</v>
      </c>
      <c r="S42" s="3"/>
      <c r="T42" s="8"/>
      <c r="U42" s="3"/>
      <c r="V42" s="7">
        <f t="shared" si="35"/>
        <v>0</v>
      </c>
      <c r="W42" s="3"/>
      <c r="X42" s="8">
        <f t="shared" si="36"/>
        <v>690.24</v>
      </c>
      <c r="Y42" s="3"/>
      <c r="Z42" s="7">
        <f t="shared" si="37"/>
        <v>0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30"/>
        <v>0.71094912220952777</v>
      </c>
      <c r="G43" s="1"/>
      <c r="H43" s="1">
        <f>SUM(OSRRefH22_5x_0)</f>
        <v>13686.96</v>
      </c>
      <c r="I43" s="1"/>
      <c r="J43" s="5">
        <f t="shared" si="31"/>
        <v>0</v>
      </c>
      <c r="K43" s="1"/>
      <c r="L43" s="1">
        <f t="shared" si="32"/>
        <v>320.38000000000102</v>
      </c>
      <c r="M43" s="1"/>
      <c r="N43" s="5">
        <f t="shared" si="33"/>
        <v>2.3407681471999703E-2</v>
      </c>
      <c r="O43" s="14"/>
      <c r="P43" s="1">
        <f>SUM(OSRRefP22_5x_0)</f>
        <v>14007.34</v>
      </c>
      <c r="Q43" s="1"/>
      <c r="R43" s="5">
        <f t="shared" si="34"/>
        <v>0.71094912220952777</v>
      </c>
      <c r="S43" s="1"/>
      <c r="T43" s="1">
        <f>SUM(OSRRefT22_5x_0)</f>
        <v>13686.96</v>
      </c>
      <c r="U43" s="1"/>
      <c r="V43" s="5">
        <f t="shared" si="35"/>
        <v>0</v>
      </c>
      <c r="W43" s="1"/>
      <c r="X43" s="1">
        <f t="shared" si="36"/>
        <v>320.38000000000102</v>
      </c>
      <c r="Y43" s="1"/>
      <c r="Z43" s="5">
        <f t="shared" si="37"/>
        <v>2.3407681471999703E-2</v>
      </c>
    </row>
    <row r="44" spans="1:26" s="24" customFormat="1" hidden="1" outlineLevel="2" x14ac:dyDescent="0.3">
      <c r="A44" s="27"/>
      <c r="B44" s="12" t="str">
        <f>CONCATENATE("          ", "6321", " - ", "BUILDING DEPRECIATION")</f>
        <v xml:space="preserve">          6321 - BUILDING DEPRECIATION</v>
      </c>
      <c r="C44" s="12"/>
      <c r="D44" s="8">
        <v>10597.26</v>
      </c>
      <c r="E44" s="3"/>
      <c r="F44" s="7">
        <f t="shared" si="30"/>
        <v>0.53786890978773561</v>
      </c>
      <c r="G44" s="3"/>
      <c r="H44" s="8">
        <v>10597.26</v>
      </c>
      <c r="I44" s="3"/>
      <c r="J44" s="7">
        <f t="shared" si="31"/>
        <v>0</v>
      </c>
      <c r="K44" s="3"/>
      <c r="L44" s="8">
        <f t="shared" si="32"/>
        <v>0</v>
      </c>
      <c r="M44" s="3"/>
      <c r="N44" s="7">
        <f t="shared" si="33"/>
        <v>0</v>
      </c>
      <c r="O44" s="12"/>
      <c r="P44" s="8">
        <v>10597.26</v>
      </c>
      <c r="Q44" s="3"/>
      <c r="R44" s="7">
        <f t="shared" si="34"/>
        <v>0.53786890978773561</v>
      </c>
      <c r="S44" s="3"/>
      <c r="T44" s="8">
        <v>10597.26</v>
      </c>
      <c r="U44" s="3"/>
      <c r="V44" s="7">
        <f t="shared" si="35"/>
        <v>0</v>
      </c>
      <c r="W44" s="3"/>
      <c r="X44" s="8">
        <f t="shared" si="36"/>
        <v>0</v>
      </c>
      <c r="Y44" s="3"/>
      <c r="Z44" s="7">
        <f t="shared" si="37"/>
        <v>0</v>
      </c>
    </row>
    <row r="45" spans="1:26" s="24" customFormat="1" hidden="1" outlineLevel="2" x14ac:dyDescent="0.3">
      <c r="A45" s="27"/>
      <c r="B45" s="12" t="str">
        <f>CONCATENATE("          ", "6322", " - ", "EQUIPMENT DEPRECIATION EXPENSE")</f>
        <v xml:space="preserve">          6322 - EQUIPMENT DEPRECIATION EXPENSE</v>
      </c>
      <c r="C45" s="12"/>
      <c r="D45" s="8">
        <v>3410.08</v>
      </c>
      <c r="E45" s="3"/>
      <c r="F45" s="7">
        <f t="shared" si="30"/>
        <v>0.1730802124217922</v>
      </c>
      <c r="G45" s="3"/>
      <c r="H45" s="8">
        <v>3089.7</v>
      </c>
      <c r="I45" s="3"/>
      <c r="J45" s="7">
        <f t="shared" si="31"/>
        <v>0</v>
      </c>
      <c r="K45" s="3"/>
      <c r="L45" s="8">
        <f t="shared" si="32"/>
        <v>320.38000000000011</v>
      </c>
      <c r="M45" s="3"/>
      <c r="N45" s="7">
        <f t="shared" si="33"/>
        <v>0.10369291516975762</v>
      </c>
      <c r="O45" s="12"/>
      <c r="P45" s="8">
        <v>3410.08</v>
      </c>
      <c r="Q45" s="3"/>
      <c r="R45" s="7">
        <f t="shared" si="34"/>
        <v>0.1730802124217922</v>
      </c>
      <c r="S45" s="3"/>
      <c r="T45" s="8">
        <v>3089.7</v>
      </c>
      <c r="U45" s="3"/>
      <c r="V45" s="7">
        <f t="shared" si="35"/>
        <v>0</v>
      </c>
      <c r="W45" s="3"/>
      <c r="X45" s="8">
        <f t="shared" si="36"/>
        <v>320.38000000000011</v>
      </c>
      <c r="Y45" s="3"/>
      <c r="Z45" s="7">
        <f t="shared" si="37"/>
        <v>0.10369291516975762</v>
      </c>
    </row>
    <row r="46" spans="1:26" s="29" customFormat="1" outlineLevel="1" collapsed="1" x14ac:dyDescent="0.3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161.19999999999999</v>
      </c>
      <c r="E46" s="1"/>
      <c r="F46" s="5">
        <f t="shared" ref="F46:F56" si="38">IF(D$12=0,0,D46/D$12)</f>
        <v>8.1817817301626065E-3</v>
      </c>
      <c r="G46" s="1"/>
      <c r="H46" s="1">
        <f>SUM(OSRRefH22_6x_0)</f>
        <v>105.61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55.589999999999989</v>
      </c>
      <c r="M46" s="1"/>
      <c r="N46" s="5">
        <f t="shared" ref="N46:N56" si="41">IF(H46=0,0,L46/H46)</f>
        <v>0.52637060884385933</v>
      </c>
      <c r="O46" s="14"/>
      <c r="P46" s="1">
        <f>SUM(OSRRefP22_6x_0)</f>
        <v>161.19999999999999</v>
      </c>
      <c r="Q46" s="1"/>
      <c r="R46" s="5">
        <f t="shared" ref="R46:R56" si="42">IF(P$12=0,0,P46/P$12)</f>
        <v>8.1817817301626065E-3</v>
      </c>
      <c r="S46" s="1"/>
      <c r="T46" s="1">
        <f>SUM(OSRRefT22_6x_0)</f>
        <v>105.61</v>
      </c>
      <c r="U46" s="1"/>
      <c r="V46" s="5">
        <f t="shared" ref="V46:V56" si="43">IF(T$12=0,0,T46/T$12)</f>
        <v>0</v>
      </c>
      <c r="W46" s="1"/>
      <c r="X46" s="1">
        <f t="shared" ref="X46:X56" si="44">+P46-T46</f>
        <v>55.589999999999989</v>
      </c>
      <c r="Y46" s="1"/>
      <c r="Z46" s="5">
        <f t="shared" ref="Z46:Z56" si="45">IF(T46=0,0,X46/T46)</f>
        <v>0.52637060884385933</v>
      </c>
    </row>
    <row r="47" spans="1:26" s="24" customFormat="1" hidden="1" outlineLevel="2" x14ac:dyDescent="0.3">
      <c r="A47" s="27"/>
      <c r="B47" s="12" t="str">
        <f>CONCATENATE("          ", "6351", " - ", "EQUIPMENT RENTAL")</f>
        <v xml:space="preserve">          6351 - EQUIPMENT RENTAL</v>
      </c>
      <c r="C47" s="12"/>
      <c r="D47" s="8">
        <v>161.19999999999999</v>
      </c>
      <c r="E47" s="3"/>
      <c r="F47" s="7">
        <f t="shared" si="38"/>
        <v>8.1817817301626065E-3</v>
      </c>
      <c r="G47" s="3"/>
      <c r="H47" s="8">
        <v>105.61</v>
      </c>
      <c r="I47" s="3"/>
      <c r="J47" s="7">
        <f t="shared" si="39"/>
        <v>0</v>
      </c>
      <c r="K47" s="3"/>
      <c r="L47" s="8">
        <f t="shared" si="40"/>
        <v>55.589999999999989</v>
      </c>
      <c r="M47" s="3"/>
      <c r="N47" s="7">
        <f t="shared" si="41"/>
        <v>0.52637060884385933</v>
      </c>
      <c r="O47" s="12"/>
      <c r="P47" s="8">
        <v>161.19999999999999</v>
      </c>
      <c r="Q47" s="3"/>
      <c r="R47" s="7">
        <f t="shared" si="42"/>
        <v>8.1817817301626065E-3</v>
      </c>
      <c r="S47" s="3"/>
      <c r="T47" s="8">
        <v>105.61</v>
      </c>
      <c r="U47" s="3"/>
      <c r="V47" s="7">
        <f t="shared" si="43"/>
        <v>0</v>
      </c>
      <c r="W47" s="3"/>
      <c r="X47" s="8">
        <f t="shared" si="44"/>
        <v>55.589999999999989</v>
      </c>
      <c r="Y47" s="3"/>
      <c r="Z47" s="7">
        <f t="shared" si="45"/>
        <v>0.52637060884385933</v>
      </c>
    </row>
    <row r="48" spans="1:26" s="29" customFormat="1" outlineLevel="1" collapsed="1" x14ac:dyDescent="0.3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42.77</v>
      </c>
      <c r="E48" s="1"/>
      <c r="F48" s="5">
        <f t="shared" si="38"/>
        <v>2.1708114429221754E-3</v>
      </c>
      <c r="G48" s="1"/>
      <c r="H48" s="1">
        <f>SUM(OSRRefH22_7x_0)</f>
        <v>1404.55</v>
      </c>
      <c r="I48" s="1"/>
      <c r="J48" s="5">
        <f t="shared" si="39"/>
        <v>0</v>
      </c>
      <c r="K48" s="1"/>
      <c r="L48" s="1">
        <f t="shared" si="40"/>
        <v>-1361.78</v>
      </c>
      <c r="M48" s="1"/>
      <c r="N48" s="5">
        <f t="shared" si="41"/>
        <v>-0.96954896586095196</v>
      </c>
      <c r="O48" s="14"/>
      <c r="P48" s="1">
        <f>SUM(OSRRefP22_7x_0)</f>
        <v>42.77</v>
      </c>
      <c r="Q48" s="1"/>
      <c r="R48" s="5">
        <f t="shared" si="42"/>
        <v>2.1708114429221754E-3</v>
      </c>
      <c r="S48" s="1"/>
      <c r="T48" s="1">
        <f>SUM(OSRRefT22_7x_0)</f>
        <v>1404.55</v>
      </c>
      <c r="U48" s="1"/>
      <c r="V48" s="5">
        <f t="shared" si="43"/>
        <v>0</v>
      </c>
      <c r="W48" s="1"/>
      <c r="X48" s="1">
        <f t="shared" si="44"/>
        <v>-1361.78</v>
      </c>
      <c r="Y48" s="1"/>
      <c r="Z48" s="5">
        <f t="shared" si="45"/>
        <v>-0.96954896586095196</v>
      </c>
    </row>
    <row r="49" spans="1:26" s="24" customFormat="1" hidden="1" outlineLevel="2" x14ac:dyDescent="0.3">
      <c r="A49" s="27"/>
      <c r="B49" s="12" t="str">
        <f>CONCATENATE("          ", "6279", " - ", "GENERAL EXPENSE")</f>
        <v xml:space="preserve">          6279 - GENERAL EXPENSE</v>
      </c>
      <c r="C49" s="12"/>
      <c r="D49" s="8">
        <v>42.77</v>
      </c>
      <c r="E49" s="3"/>
      <c r="F49" s="7">
        <f t="shared" si="38"/>
        <v>2.1708114429221754E-3</v>
      </c>
      <c r="G49" s="3"/>
      <c r="H49" s="8">
        <v>1404.55</v>
      </c>
      <c r="I49" s="3"/>
      <c r="J49" s="7">
        <f t="shared" si="39"/>
        <v>0</v>
      </c>
      <c r="K49" s="3"/>
      <c r="L49" s="8">
        <f t="shared" si="40"/>
        <v>-1361.78</v>
      </c>
      <c r="M49" s="3"/>
      <c r="N49" s="7">
        <f t="shared" si="41"/>
        <v>-0.96954896586095196</v>
      </c>
      <c r="O49" s="12"/>
      <c r="P49" s="8">
        <v>42.77</v>
      </c>
      <c r="Q49" s="3"/>
      <c r="R49" s="7">
        <f t="shared" si="42"/>
        <v>2.1708114429221754E-3</v>
      </c>
      <c r="S49" s="3"/>
      <c r="T49" s="8">
        <v>1404.55</v>
      </c>
      <c r="U49" s="3"/>
      <c r="V49" s="7">
        <f t="shared" si="43"/>
        <v>0</v>
      </c>
      <c r="W49" s="3"/>
      <c r="X49" s="8">
        <f t="shared" si="44"/>
        <v>-1361.78</v>
      </c>
      <c r="Y49" s="3"/>
      <c r="Z49" s="7">
        <f t="shared" si="45"/>
        <v>-0.96954896586095196</v>
      </c>
    </row>
    <row r="50" spans="1:26" s="29" customFormat="1" outlineLevel="1" collapsed="1" x14ac:dyDescent="0.3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871.61</v>
      </c>
      <c r="E50" s="1"/>
      <c r="F50" s="5">
        <f t="shared" si="38"/>
        <v>4.4238975023740877E-2</v>
      </c>
      <c r="G50" s="1"/>
      <c r="H50" s="1">
        <f>SUM(OSRRefH22_8x_0)</f>
        <v>641.28</v>
      </c>
      <c r="I50" s="1"/>
      <c r="J50" s="5">
        <f t="shared" si="39"/>
        <v>0</v>
      </c>
      <c r="K50" s="1"/>
      <c r="L50" s="1">
        <f t="shared" si="40"/>
        <v>230.33000000000004</v>
      </c>
      <c r="M50" s="1"/>
      <c r="N50" s="5">
        <f t="shared" si="41"/>
        <v>0.35917228043912186</v>
      </c>
      <c r="O50" s="14"/>
      <c r="P50" s="1">
        <f>SUM(OSRRefP22_8x_0)</f>
        <v>871.61</v>
      </c>
      <c r="Q50" s="1"/>
      <c r="R50" s="5">
        <f t="shared" si="42"/>
        <v>4.4238975023740877E-2</v>
      </c>
      <c r="S50" s="1"/>
      <c r="T50" s="1">
        <f>SUM(OSRRefT22_8x_0)</f>
        <v>641.28</v>
      </c>
      <c r="U50" s="1"/>
      <c r="V50" s="5">
        <f t="shared" si="43"/>
        <v>0</v>
      </c>
      <c r="W50" s="1"/>
      <c r="X50" s="1">
        <f t="shared" si="44"/>
        <v>230.33000000000004</v>
      </c>
      <c r="Y50" s="1"/>
      <c r="Z50" s="5">
        <f t="shared" si="45"/>
        <v>0.35917228043912186</v>
      </c>
    </row>
    <row r="51" spans="1:26" s="24" customFormat="1" hidden="1" outlineLevel="2" x14ac:dyDescent="0.3">
      <c r="A51" s="27"/>
      <c r="B51" s="12" t="str">
        <f>CONCATENATE("          ", "6314", " - ", "LIABILITY INSURANCE")</f>
        <v xml:space="preserve">          6314 - LIABILITY INSURANCE</v>
      </c>
      <c r="C51" s="12"/>
      <c r="D51" s="8">
        <v>871.61</v>
      </c>
      <c r="E51" s="3"/>
      <c r="F51" s="7">
        <f t="shared" si="38"/>
        <v>4.4238975023740877E-2</v>
      </c>
      <c r="G51" s="3"/>
      <c r="H51" s="8">
        <v>641.28</v>
      </c>
      <c r="I51" s="3"/>
      <c r="J51" s="7">
        <f t="shared" si="39"/>
        <v>0</v>
      </c>
      <c r="K51" s="3"/>
      <c r="L51" s="8">
        <f t="shared" si="40"/>
        <v>230.33000000000004</v>
      </c>
      <c r="M51" s="3"/>
      <c r="N51" s="7">
        <f t="shared" si="41"/>
        <v>0.35917228043912186</v>
      </c>
      <c r="O51" s="12"/>
      <c r="P51" s="8">
        <v>871.61</v>
      </c>
      <c r="Q51" s="3"/>
      <c r="R51" s="7">
        <f t="shared" si="42"/>
        <v>4.4238975023740877E-2</v>
      </c>
      <c r="S51" s="3"/>
      <c r="T51" s="8">
        <v>641.28</v>
      </c>
      <c r="U51" s="3"/>
      <c r="V51" s="7">
        <f t="shared" si="43"/>
        <v>0</v>
      </c>
      <c r="W51" s="3"/>
      <c r="X51" s="8">
        <f t="shared" si="44"/>
        <v>230.33000000000004</v>
      </c>
      <c r="Y51" s="3"/>
      <c r="Z51" s="7">
        <f t="shared" si="45"/>
        <v>0.35917228043912186</v>
      </c>
    </row>
    <row r="52" spans="1:26" s="29" customFormat="1" outlineLevel="1" collapsed="1" x14ac:dyDescent="0.3">
      <c r="A52" s="28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7253</v>
      </c>
      <c r="E52" s="1"/>
      <c r="F52" s="5">
        <f t="shared" si="38"/>
        <v>0.36812942238752722</v>
      </c>
      <c r="G52" s="1"/>
      <c r="H52" s="1">
        <f>SUM(OSRRefH22_9x_0)</f>
        <v>7510</v>
      </c>
      <c r="I52" s="1"/>
      <c r="J52" s="5">
        <f t="shared" si="39"/>
        <v>0</v>
      </c>
      <c r="K52" s="1"/>
      <c r="L52" s="1">
        <f t="shared" si="40"/>
        <v>-257</v>
      </c>
      <c r="M52" s="1"/>
      <c r="N52" s="5">
        <f t="shared" si="41"/>
        <v>-3.4221038615179764E-2</v>
      </c>
      <c r="O52" s="14"/>
      <c r="P52" s="1">
        <f>SUM(OSRRefP22_9x_0)</f>
        <v>7253</v>
      </c>
      <c r="Q52" s="1"/>
      <c r="R52" s="5">
        <f t="shared" si="42"/>
        <v>0.36812942238752722</v>
      </c>
      <c r="S52" s="1"/>
      <c r="T52" s="1">
        <f>SUM(OSRRefT22_9x_0)</f>
        <v>7510</v>
      </c>
      <c r="U52" s="1"/>
      <c r="V52" s="5">
        <f t="shared" si="43"/>
        <v>0</v>
      </c>
      <c r="W52" s="1"/>
      <c r="X52" s="1">
        <f t="shared" si="44"/>
        <v>-257</v>
      </c>
      <c r="Y52" s="1"/>
      <c r="Z52" s="5">
        <f t="shared" si="45"/>
        <v>-3.4221038615179764E-2</v>
      </c>
    </row>
    <row r="53" spans="1:26" s="24" customFormat="1" hidden="1" outlineLevel="2" x14ac:dyDescent="0.3">
      <c r="A53" s="27"/>
      <c r="B53" s="12" t="str">
        <f>CONCATENATE("          ", "6401", " - ", "INTEREST EXPENSE")</f>
        <v xml:space="preserve">          6401 - INTEREST EXPENSE</v>
      </c>
      <c r="C53" s="12"/>
      <c r="D53" s="8">
        <v>7253</v>
      </c>
      <c r="E53" s="3"/>
      <c r="F53" s="7">
        <f t="shared" si="38"/>
        <v>0.36812942238752722</v>
      </c>
      <c r="G53" s="3"/>
      <c r="H53" s="8">
        <v>7510</v>
      </c>
      <c r="I53" s="3"/>
      <c r="J53" s="7">
        <f t="shared" si="39"/>
        <v>0</v>
      </c>
      <c r="K53" s="3"/>
      <c r="L53" s="8">
        <f t="shared" si="40"/>
        <v>-257</v>
      </c>
      <c r="M53" s="3"/>
      <c r="N53" s="7">
        <f t="shared" si="41"/>
        <v>-3.4221038615179764E-2</v>
      </c>
      <c r="O53" s="12"/>
      <c r="P53" s="8">
        <v>7253</v>
      </c>
      <c r="Q53" s="3"/>
      <c r="R53" s="7">
        <f t="shared" si="42"/>
        <v>0.36812942238752722</v>
      </c>
      <c r="S53" s="3"/>
      <c r="T53" s="8">
        <v>7510</v>
      </c>
      <c r="U53" s="3"/>
      <c r="V53" s="7">
        <f t="shared" si="43"/>
        <v>0</v>
      </c>
      <c r="W53" s="3"/>
      <c r="X53" s="8">
        <f t="shared" si="44"/>
        <v>-257</v>
      </c>
      <c r="Y53" s="3"/>
      <c r="Z53" s="7">
        <f t="shared" si="45"/>
        <v>-3.4221038615179764E-2</v>
      </c>
    </row>
    <row r="54" spans="1:26" s="29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1171.83</v>
      </c>
      <c r="E54" s="1"/>
      <c r="F54" s="5">
        <f t="shared" si="38"/>
        <v>5.9476782164121875E-2</v>
      </c>
      <c r="G54" s="1"/>
      <c r="H54" s="1">
        <f>SUM(OSRRefH22_10x_0)</f>
        <v>4071.8999999999996</v>
      </c>
      <c r="I54" s="1"/>
      <c r="J54" s="5">
        <f t="shared" si="39"/>
        <v>0</v>
      </c>
      <c r="K54" s="1"/>
      <c r="L54" s="1">
        <f t="shared" si="40"/>
        <v>-2900.0699999999997</v>
      </c>
      <c r="M54" s="1"/>
      <c r="N54" s="5">
        <f t="shared" si="41"/>
        <v>-0.71221542768732038</v>
      </c>
      <c r="O54" s="14"/>
      <c r="P54" s="1">
        <f>SUM(OSRRefP22_10x_0)</f>
        <v>1171.83</v>
      </c>
      <c r="Q54" s="1"/>
      <c r="R54" s="5">
        <f t="shared" si="42"/>
        <v>5.9476782164121875E-2</v>
      </c>
      <c r="S54" s="1"/>
      <c r="T54" s="1">
        <f>SUM(OSRRefT22_10x_0)</f>
        <v>4071.8999999999996</v>
      </c>
      <c r="U54" s="1"/>
      <c r="V54" s="5">
        <f t="shared" si="43"/>
        <v>0</v>
      </c>
      <c r="W54" s="1"/>
      <c r="X54" s="1">
        <f t="shared" si="44"/>
        <v>-2900.0699999999997</v>
      </c>
      <c r="Y54" s="1"/>
      <c r="Z54" s="5">
        <f t="shared" si="45"/>
        <v>-0.71221542768732038</v>
      </c>
    </row>
    <row r="55" spans="1:26" s="24" customFormat="1" hidden="1" outlineLevel="2" x14ac:dyDescent="0.3">
      <c r="A55" s="27"/>
      <c r="B55" s="12" t="str">
        <f>CONCATENATE("          ", "6373", " - ", "MAINTENANCE CONTRACTS")</f>
        <v xml:space="preserve">          6373 - MAINTENANCE CONTRACTS</v>
      </c>
      <c r="C55" s="12"/>
      <c r="D55" s="8"/>
      <c r="E55" s="3"/>
      <c r="F55" s="7">
        <f t="shared" si="38"/>
        <v>0</v>
      </c>
      <c r="G55" s="3"/>
      <c r="H55" s="8">
        <v>2352.54</v>
      </c>
      <c r="I55" s="3"/>
      <c r="J55" s="7">
        <f t="shared" si="39"/>
        <v>0</v>
      </c>
      <c r="K55" s="3"/>
      <c r="L55" s="8">
        <f t="shared" si="40"/>
        <v>-2352.54</v>
      </c>
      <c r="M55" s="3"/>
      <c r="N55" s="7">
        <f t="shared" si="41"/>
        <v>-1</v>
      </c>
      <c r="O55" s="12"/>
      <c r="P55" s="8"/>
      <c r="Q55" s="3"/>
      <c r="R55" s="7">
        <f t="shared" si="42"/>
        <v>0</v>
      </c>
      <c r="S55" s="3"/>
      <c r="T55" s="8">
        <v>2352.54</v>
      </c>
      <c r="U55" s="3"/>
      <c r="V55" s="7">
        <f t="shared" si="43"/>
        <v>0</v>
      </c>
      <c r="W55" s="3"/>
      <c r="X55" s="8">
        <f t="shared" si="44"/>
        <v>-2352.54</v>
      </c>
      <c r="Y55" s="3"/>
      <c r="Z55" s="7">
        <f t="shared" si="45"/>
        <v>-1</v>
      </c>
    </row>
    <row r="56" spans="1:26" s="24" customFormat="1" hidden="1" outlineLevel="2" x14ac:dyDescent="0.3">
      <c r="A56" s="27"/>
      <c r="B56" s="12" t="str">
        <f>CONCATENATE("          ", "6375", " - ", "OUTSIDE REPAIRS &amp; MAINTENANCE")</f>
        <v xml:space="preserve">          6375 - OUTSIDE REPAIRS &amp; MAINTENANCE</v>
      </c>
      <c r="C56" s="12"/>
      <c r="D56" s="8">
        <v>1171.83</v>
      </c>
      <c r="E56" s="3"/>
      <c r="F56" s="7">
        <f t="shared" si="38"/>
        <v>5.9476782164121875E-2</v>
      </c>
      <c r="G56" s="3"/>
      <c r="H56" s="8">
        <v>1719.36</v>
      </c>
      <c r="I56" s="3"/>
      <c r="J56" s="7">
        <f t="shared" si="39"/>
        <v>0</v>
      </c>
      <c r="K56" s="3"/>
      <c r="L56" s="8">
        <f t="shared" si="40"/>
        <v>-547.53</v>
      </c>
      <c r="M56" s="3"/>
      <c r="N56" s="7">
        <f t="shared" si="41"/>
        <v>-0.31844988833054161</v>
      </c>
      <c r="O56" s="12"/>
      <c r="P56" s="8">
        <v>1171.83</v>
      </c>
      <c r="Q56" s="3"/>
      <c r="R56" s="7">
        <f t="shared" si="42"/>
        <v>5.9476782164121875E-2</v>
      </c>
      <c r="S56" s="3"/>
      <c r="T56" s="8">
        <v>1719.36</v>
      </c>
      <c r="U56" s="3"/>
      <c r="V56" s="7">
        <f t="shared" si="43"/>
        <v>0</v>
      </c>
      <c r="W56" s="3"/>
      <c r="X56" s="8">
        <f t="shared" si="44"/>
        <v>-547.53</v>
      </c>
      <c r="Y56" s="3"/>
      <c r="Z56" s="7">
        <f t="shared" si="45"/>
        <v>-0.31844988833054161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3919.13</v>
      </c>
      <c r="E57" s="1"/>
      <c r="F57" s="5">
        <f t="shared" ref="F57:F60" si="46">IF(D$12=0,0,D57/D$12)</f>
        <v>0.1989172843184378</v>
      </c>
      <c r="G57" s="1"/>
      <c r="H57" s="1">
        <f>SUM(OSRRefH22_11x_0)</f>
        <v>1000</v>
      </c>
      <c r="I57" s="1"/>
      <c r="J57" s="5">
        <f t="shared" ref="J57:J60" si="47">IF(H$12=0,0,H57/H$12)</f>
        <v>0</v>
      </c>
      <c r="K57" s="1"/>
      <c r="L57" s="1">
        <f t="shared" ref="L57:L60" si="48">+D57-H57</f>
        <v>2919.13</v>
      </c>
      <c r="M57" s="1"/>
      <c r="N57" s="5">
        <f t="shared" ref="N57:N60" si="49">IF(H57=0,0,L57/H57)</f>
        <v>2.91913</v>
      </c>
      <c r="O57" s="14"/>
      <c r="P57" s="1">
        <f>SUM(OSRRefP22_11x_0)</f>
        <v>3919.13</v>
      </c>
      <c r="Q57" s="1"/>
      <c r="R57" s="5">
        <f t="shared" ref="R57:R60" si="50">IF(P$12=0,0,P57/P$12)</f>
        <v>0.1989172843184378</v>
      </c>
      <c r="S57" s="1"/>
      <c r="T57" s="1">
        <f>SUM(OSRRefT22_11x_0)</f>
        <v>1000</v>
      </c>
      <c r="U57" s="1"/>
      <c r="V57" s="5">
        <f t="shared" ref="V57:V60" si="51">IF(T$12=0,0,T57/T$12)</f>
        <v>0</v>
      </c>
      <c r="W57" s="1"/>
      <c r="X57" s="1">
        <f t="shared" ref="X57:X60" si="52">+P57-T57</f>
        <v>2919.13</v>
      </c>
      <c r="Y57" s="1"/>
      <c r="Z57" s="5">
        <f t="shared" ref="Z57:Z60" si="53">IF(T57=0,0,X57/T57)</f>
        <v>2.91913</v>
      </c>
    </row>
    <row r="58" spans="1:26" s="24" customFormat="1" hidden="1" outlineLevel="2" x14ac:dyDescent="0.3">
      <c r="A58" s="27"/>
      <c r="B58" s="12" t="str">
        <f>CONCATENATE("          ", "6284", " - ", "TRASH REMOVAL EXPENSE")</f>
        <v xml:space="preserve">          6284 - TRASH REMOVAL EXPENSE</v>
      </c>
      <c r="C58" s="12"/>
      <c r="D58" s="8"/>
      <c r="E58" s="3"/>
      <c r="F58" s="7">
        <f t="shared" si="46"/>
        <v>0</v>
      </c>
      <c r="G58" s="3"/>
      <c r="H58" s="8">
        <v>1000</v>
      </c>
      <c r="I58" s="3"/>
      <c r="J58" s="7">
        <f t="shared" si="47"/>
        <v>0</v>
      </c>
      <c r="K58" s="3"/>
      <c r="L58" s="8">
        <f t="shared" si="48"/>
        <v>-1000</v>
      </c>
      <c r="M58" s="3"/>
      <c r="N58" s="7">
        <f t="shared" si="49"/>
        <v>-1</v>
      </c>
      <c r="O58" s="12"/>
      <c r="P58" s="8"/>
      <c r="Q58" s="3"/>
      <c r="R58" s="7">
        <f t="shared" si="50"/>
        <v>0</v>
      </c>
      <c r="S58" s="3"/>
      <c r="T58" s="8">
        <v>1000</v>
      </c>
      <c r="U58" s="3"/>
      <c r="V58" s="7">
        <f t="shared" si="51"/>
        <v>0</v>
      </c>
      <c r="W58" s="3"/>
      <c r="X58" s="8">
        <f t="shared" si="52"/>
        <v>-1000</v>
      </c>
      <c r="Y58" s="3"/>
      <c r="Z58" s="7">
        <f t="shared" si="53"/>
        <v>-1</v>
      </c>
    </row>
    <row r="59" spans="1:26" s="24" customFormat="1" hidden="1" outlineLevel="2" x14ac:dyDescent="0.3">
      <c r="A59" s="27"/>
      <c r="B59" s="12" t="str">
        <f>CONCATENATE("          ", "6285", " - ", "JANITORIAL SERVICES")</f>
        <v xml:space="preserve">          6285 - JANITORIAL SERVICES</v>
      </c>
      <c r="C59" s="12"/>
      <c r="D59" s="8">
        <v>3759.39</v>
      </c>
      <c r="E59" s="3"/>
      <c r="F59" s="7">
        <f t="shared" si="46"/>
        <v>0.19080960557416873</v>
      </c>
      <c r="G59" s="3"/>
      <c r="H59" s="8"/>
      <c r="I59" s="3"/>
      <c r="J59" s="7">
        <f t="shared" si="47"/>
        <v>0</v>
      </c>
      <c r="K59" s="3"/>
      <c r="L59" s="8">
        <f t="shared" si="48"/>
        <v>3759.39</v>
      </c>
      <c r="M59" s="3"/>
      <c r="N59" s="7">
        <f t="shared" si="49"/>
        <v>0</v>
      </c>
      <c r="O59" s="12"/>
      <c r="P59" s="8">
        <v>3759.39</v>
      </c>
      <c r="Q59" s="3"/>
      <c r="R59" s="7">
        <f t="shared" si="50"/>
        <v>0.19080960557416873</v>
      </c>
      <c r="S59" s="3"/>
      <c r="T59" s="8"/>
      <c r="U59" s="3"/>
      <c r="V59" s="7">
        <f t="shared" si="51"/>
        <v>0</v>
      </c>
      <c r="W59" s="3"/>
      <c r="X59" s="8">
        <f t="shared" si="52"/>
        <v>3759.39</v>
      </c>
      <c r="Y59" s="3"/>
      <c r="Z59" s="7">
        <f t="shared" si="53"/>
        <v>0</v>
      </c>
    </row>
    <row r="60" spans="1:26" s="24" customFormat="1" hidden="1" outlineLevel="2" x14ac:dyDescent="0.3">
      <c r="A60" s="27"/>
      <c r="B60" s="12" t="str">
        <f>CONCATENATE("          ", "6286", " - ", "LAUNDRY EXPENSE")</f>
        <v xml:space="preserve">          6286 - LAUNDRY EXPENSE</v>
      </c>
      <c r="C60" s="12"/>
      <c r="D60" s="8">
        <v>159.74</v>
      </c>
      <c r="E60" s="3"/>
      <c r="F60" s="7">
        <f t="shared" si="46"/>
        <v>8.1076787442690753E-3</v>
      </c>
      <c r="G60" s="3"/>
      <c r="H60" s="8"/>
      <c r="I60" s="3"/>
      <c r="J60" s="7">
        <f t="shared" si="47"/>
        <v>0</v>
      </c>
      <c r="K60" s="3"/>
      <c r="L60" s="8">
        <f t="shared" si="48"/>
        <v>159.74</v>
      </c>
      <c r="M60" s="3"/>
      <c r="N60" s="7">
        <f t="shared" si="49"/>
        <v>0</v>
      </c>
      <c r="O60" s="12"/>
      <c r="P60" s="8">
        <v>159.74</v>
      </c>
      <c r="Q60" s="3"/>
      <c r="R60" s="7">
        <f t="shared" si="50"/>
        <v>8.1076787442690753E-3</v>
      </c>
      <c r="S60" s="3"/>
      <c r="T60" s="8"/>
      <c r="U60" s="3"/>
      <c r="V60" s="7">
        <f t="shared" si="51"/>
        <v>0</v>
      </c>
      <c r="W60" s="3"/>
      <c r="X60" s="8">
        <f t="shared" si="52"/>
        <v>159.74</v>
      </c>
      <c r="Y60" s="3"/>
      <c r="Z60" s="7">
        <f t="shared" si="53"/>
        <v>0</v>
      </c>
    </row>
    <row r="61" spans="1:26" s="29" customFormat="1" outlineLevel="1" collapsed="1" x14ac:dyDescent="0.3">
      <c r="A61" s="28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SUM(OSRRefD22_12x_0)</f>
        <v>130.66999999999999</v>
      </c>
      <c r="E61" s="1"/>
      <c r="F61" s="5">
        <f t="shared" ref="F61:F68" si="54">IF(D$12=0,0,D61/D$12)</f>
        <v>6.6322172374711393E-3</v>
      </c>
      <c r="G61" s="1"/>
      <c r="H61" s="1">
        <f>SUM(OSRRefH22_12x_0)</f>
        <v>9.32</v>
      </c>
      <c r="I61" s="1"/>
      <c r="J61" s="5">
        <f t="shared" ref="J61:J68" si="55">IF(H$12=0,0,H61/H$12)</f>
        <v>0</v>
      </c>
      <c r="K61" s="1"/>
      <c r="L61" s="1">
        <f t="shared" ref="L61:L68" si="56">+D61-H61</f>
        <v>121.35</v>
      </c>
      <c r="M61" s="1"/>
      <c r="N61" s="5">
        <f t="shared" ref="N61:N68" si="57">IF(H61=0,0,L61/H61)</f>
        <v>13.02038626609442</v>
      </c>
      <c r="O61" s="14"/>
      <c r="P61" s="1">
        <f>SUM(OSRRefP22_12x_0)</f>
        <v>130.66999999999999</v>
      </c>
      <c r="Q61" s="1"/>
      <c r="R61" s="5">
        <f t="shared" ref="R61:R68" si="58">IF(P$12=0,0,P61/P$12)</f>
        <v>6.6322172374711393E-3</v>
      </c>
      <c r="S61" s="1"/>
      <c r="T61" s="1">
        <f>SUM(OSRRefT22_12x_0)</f>
        <v>9.32</v>
      </c>
      <c r="U61" s="1"/>
      <c r="V61" s="5">
        <f t="shared" ref="V61:V68" si="59">IF(T$12=0,0,T61/T$12)</f>
        <v>0</v>
      </c>
      <c r="W61" s="1"/>
      <c r="X61" s="1">
        <f t="shared" ref="X61:X68" si="60">+P61-T61</f>
        <v>121.35</v>
      </c>
      <c r="Y61" s="1"/>
      <c r="Z61" s="5">
        <f t="shared" ref="Z61:Z68" si="61">IF(T61=0,0,X61/T61)</f>
        <v>13.02038626609442</v>
      </c>
    </row>
    <row r="62" spans="1:26" s="24" customFormat="1" hidden="1" outlineLevel="2" x14ac:dyDescent="0.3">
      <c r="A62" s="27"/>
      <c r="B62" s="12" t="str">
        <f>CONCATENATE("          ", "6275", " - ", "SUBSCRIPTIONS")</f>
        <v xml:space="preserve">          6275 - SUBSCRIPTIONS</v>
      </c>
      <c r="C62" s="12"/>
      <c r="D62" s="8">
        <v>130.66999999999999</v>
      </c>
      <c r="E62" s="3"/>
      <c r="F62" s="7">
        <f t="shared" si="54"/>
        <v>6.6322172374711393E-3</v>
      </c>
      <c r="G62" s="3"/>
      <c r="H62" s="8">
        <v>9.32</v>
      </c>
      <c r="I62" s="3"/>
      <c r="J62" s="7">
        <f t="shared" si="55"/>
        <v>0</v>
      </c>
      <c r="K62" s="3"/>
      <c r="L62" s="8">
        <f t="shared" si="56"/>
        <v>121.35</v>
      </c>
      <c r="M62" s="3"/>
      <c r="N62" s="7">
        <f t="shared" si="57"/>
        <v>13.02038626609442</v>
      </c>
      <c r="O62" s="12"/>
      <c r="P62" s="8">
        <v>130.66999999999999</v>
      </c>
      <c r="Q62" s="3"/>
      <c r="R62" s="7">
        <f t="shared" si="58"/>
        <v>6.6322172374711393E-3</v>
      </c>
      <c r="S62" s="3"/>
      <c r="T62" s="8">
        <v>9.32</v>
      </c>
      <c r="U62" s="3"/>
      <c r="V62" s="7">
        <f t="shared" si="59"/>
        <v>0</v>
      </c>
      <c r="W62" s="3"/>
      <c r="X62" s="8">
        <f t="shared" si="60"/>
        <v>121.35</v>
      </c>
      <c r="Y62" s="3"/>
      <c r="Z62" s="7">
        <f t="shared" si="61"/>
        <v>13.02038626609442</v>
      </c>
    </row>
    <row r="63" spans="1:26" s="29" customFormat="1" outlineLevel="1" collapsed="1" x14ac:dyDescent="0.3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SUM(OSRRefD22_13x_0)</f>
        <v>1208.58</v>
      </c>
      <c r="E63" s="1"/>
      <c r="F63" s="5">
        <f t="shared" si="54"/>
        <v>6.1342045678907706E-2</v>
      </c>
      <c r="G63" s="1"/>
      <c r="H63" s="1">
        <f>SUM(OSRRefH22_13x_0)</f>
        <v>542.44000000000005</v>
      </c>
      <c r="I63" s="1"/>
      <c r="J63" s="5">
        <f t="shared" si="55"/>
        <v>0</v>
      </c>
      <c r="K63" s="1"/>
      <c r="L63" s="1">
        <f t="shared" si="56"/>
        <v>666.13999999999987</v>
      </c>
      <c r="M63" s="1"/>
      <c r="N63" s="5">
        <f t="shared" si="57"/>
        <v>1.2280436545977431</v>
      </c>
      <c r="O63" s="14"/>
      <c r="P63" s="1">
        <f>SUM(OSRRefP22_13x_0)</f>
        <v>1208.58</v>
      </c>
      <c r="Q63" s="1"/>
      <c r="R63" s="5">
        <f t="shared" si="58"/>
        <v>6.1342045678907706E-2</v>
      </c>
      <c r="S63" s="1"/>
      <c r="T63" s="1">
        <f>SUM(OSRRefT22_13x_0)</f>
        <v>542.44000000000005</v>
      </c>
      <c r="U63" s="1"/>
      <c r="V63" s="5">
        <f t="shared" si="59"/>
        <v>0</v>
      </c>
      <c r="W63" s="1"/>
      <c r="X63" s="1">
        <f t="shared" si="60"/>
        <v>666.13999999999987</v>
      </c>
      <c r="Y63" s="1"/>
      <c r="Z63" s="5">
        <f t="shared" si="61"/>
        <v>1.2280436545977431</v>
      </c>
    </row>
    <row r="64" spans="1:26" s="24" customFormat="1" hidden="1" outlineLevel="2" x14ac:dyDescent="0.3">
      <c r="A64" s="27"/>
      <c r="B64" s="12" t="str">
        <f>CONCATENATE("          ", "6235", " - ", "COVID-19 EXPENSES")</f>
        <v xml:space="preserve">          6235 - COVID-19 EXPENSES</v>
      </c>
      <c r="C64" s="12"/>
      <c r="D64" s="8"/>
      <c r="E64" s="3"/>
      <c r="F64" s="7">
        <f t="shared" si="54"/>
        <v>0</v>
      </c>
      <c r="G64" s="3"/>
      <c r="H64" s="8">
        <v>535.82000000000005</v>
      </c>
      <c r="I64" s="3"/>
      <c r="J64" s="7">
        <f t="shared" si="55"/>
        <v>0</v>
      </c>
      <c r="K64" s="3"/>
      <c r="L64" s="8">
        <f t="shared" si="56"/>
        <v>-535.82000000000005</v>
      </c>
      <c r="M64" s="3"/>
      <c r="N64" s="7">
        <f t="shared" si="57"/>
        <v>-1</v>
      </c>
      <c r="O64" s="12"/>
      <c r="P64" s="8"/>
      <c r="Q64" s="3"/>
      <c r="R64" s="7">
        <f t="shared" si="58"/>
        <v>0</v>
      </c>
      <c r="S64" s="3"/>
      <c r="T64" s="8">
        <v>535.82000000000005</v>
      </c>
      <c r="U64" s="3"/>
      <c r="V64" s="7">
        <f t="shared" si="59"/>
        <v>0</v>
      </c>
      <c r="W64" s="3"/>
      <c r="X64" s="8">
        <f t="shared" si="60"/>
        <v>-535.82000000000005</v>
      </c>
      <c r="Y64" s="3"/>
      <c r="Z64" s="7">
        <f t="shared" si="61"/>
        <v>-1</v>
      </c>
    </row>
    <row r="65" spans="1:26" s="24" customFormat="1" hidden="1" outlineLevel="2" x14ac:dyDescent="0.3">
      <c r="A65" s="27"/>
      <c r="B65" s="12" t="str">
        <f>CONCATENATE("          ", "6237", " - ", "JANITORIAL SUPPLIES")</f>
        <v xml:space="preserve">          6237 - JANITORIAL SUPPLIES</v>
      </c>
      <c r="C65" s="12"/>
      <c r="D65" s="8">
        <v>1002.17</v>
      </c>
      <c r="E65" s="3"/>
      <c r="F65" s="7">
        <f t="shared" si="54"/>
        <v>5.0865609159535106E-2</v>
      </c>
      <c r="G65" s="3"/>
      <c r="H65" s="8"/>
      <c r="I65" s="3"/>
      <c r="J65" s="7">
        <f t="shared" si="55"/>
        <v>0</v>
      </c>
      <c r="K65" s="3"/>
      <c r="L65" s="8">
        <f t="shared" si="56"/>
        <v>1002.17</v>
      </c>
      <c r="M65" s="3"/>
      <c r="N65" s="7">
        <f t="shared" si="57"/>
        <v>0</v>
      </c>
      <c r="O65" s="12"/>
      <c r="P65" s="8">
        <v>1002.17</v>
      </c>
      <c r="Q65" s="3"/>
      <c r="R65" s="7">
        <f t="shared" si="58"/>
        <v>5.0865609159535106E-2</v>
      </c>
      <c r="S65" s="3"/>
      <c r="T65" s="8"/>
      <c r="U65" s="3"/>
      <c r="V65" s="7">
        <f t="shared" si="59"/>
        <v>0</v>
      </c>
      <c r="W65" s="3"/>
      <c r="X65" s="8">
        <f t="shared" si="60"/>
        <v>1002.17</v>
      </c>
      <c r="Y65" s="3"/>
      <c r="Z65" s="7">
        <f t="shared" si="61"/>
        <v>0</v>
      </c>
    </row>
    <row r="66" spans="1:26" s="24" customFormat="1" hidden="1" outlineLevel="2" x14ac:dyDescent="0.3">
      <c r="A66" s="27"/>
      <c r="B66" s="12" t="str">
        <f>CONCATENATE("          ", "6239", " - ", "KITCHEN SUPPLIES")</f>
        <v xml:space="preserve">          6239 - KITCHEN SUPPLIES</v>
      </c>
      <c r="C66" s="12"/>
      <c r="D66" s="8">
        <v>32.03</v>
      </c>
      <c r="E66" s="3"/>
      <c r="F66" s="7">
        <f t="shared" si="54"/>
        <v>1.6256976973766024E-3</v>
      </c>
      <c r="G66" s="3"/>
      <c r="H66" s="8"/>
      <c r="I66" s="3"/>
      <c r="J66" s="7">
        <f t="shared" si="55"/>
        <v>0</v>
      </c>
      <c r="K66" s="3"/>
      <c r="L66" s="8">
        <f t="shared" si="56"/>
        <v>32.03</v>
      </c>
      <c r="M66" s="3"/>
      <c r="N66" s="7">
        <f t="shared" si="57"/>
        <v>0</v>
      </c>
      <c r="O66" s="12"/>
      <c r="P66" s="8">
        <v>32.03</v>
      </c>
      <c r="Q66" s="3"/>
      <c r="R66" s="7">
        <f t="shared" si="58"/>
        <v>1.6256976973766024E-3</v>
      </c>
      <c r="S66" s="3"/>
      <c r="T66" s="8"/>
      <c r="U66" s="3"/>
      <c r="V66" s="7">
        <f t="shared" si="59"/>
        <v>0</v>
      </c>
      <c r="W66" s="3"/>
      <c r="X66" s="8">
        <f t="shared" si="60"/>
        <v>32.03</v>
      </c>
      <c r="Y66" s="3"/>
      <c r="Z66" s="7">
        <f t="shared" si="61"/>
        <v>0</v>
      </c>
    </row>
    <row r="67" spans="1:26" s="24" customFormat="1" hidden="1" outlineLevel="2" x14ac:dyDescent="0.3">
      <c r="A67" s="27"/>
      <c r="B67" s="12" t="str">
        <f>CONCATENATE("          ", "6241", " - ", "OFFICE EXPENSE")</f>
        <v xml:space="preserve">          6241 - OFFICE EXPENSE</v>
      </c>
      <c r="C67" s="12"/>
      <c r="D67" s="8">
        <v>9</v>
      </c>
      <c r="E67" s="3"/>
      <c r="F67" s="7">
        <f t="shared" si="54"/>
        <v>4.5679922811081548E-4</v>
      </c>
      <c r="G67" s="3"/>
      <c r="H67" s="8">
        <v>6.62</v>
      </c>
      <c r="I67" s="3"/>
      <c r="J67" s="7">
        <f t="shared" si="55"/>
        <v>0</v>
      </c>
      <c r="K67" s="3"/>
      <c r="L67" s="8">
        <f t="shared" si="56"/>
        <v>2.38</v>
      </c>
      <c r="M67" s="3"/>
      <c r="N67" s="7">
        <f t="shared" si="57"/>
        <v>0.3595166163141994</v>
      </c>
      <c r="O67" s="12"/>
      <c r="P67" s="8">
        <v>9</v>
      </c>
      <c r="Q67" s="3"/>
      <c r="R67" s="7">
        <f t="shared" si="58"/>
        <v>4.5679922811081548E-4</v>
      </c>
      <c r="S67" s="3"/>
      <c r="T67" s="8">
        <v>6.62</v>
      </c>
      <c r="U67" s="3"/>
      <c r="V67" s="7">
        <f t="shared" si="59"/>
        <v>0</v>
      </c>
      <c r="W67" s="3"/>
      <c r="X67" s="8">
        <f t="shared" si="60"/>
        <v>2.38</v>
      </c>
      <c r="Y67" s="3"/>
      <c r="Z67" s="7">
        <f t="shared" si="61"/>
        <v>0.3595166163141994</v>
      </c>
    </row>
    <row r="68" spans="1:26" s="24" customFormat="1" hidden="1" outlineLevel="2" x14ac:dyDescent="0.3">
      <c r="A68" s="27"/>
      <c r="B68" s="12" t="str">
        <f>CONCATENATE("          ", "6243", " - ", "PAPER SUPPLIES")</f>
        <v xml:space="preserve">          6243 - PAPER SUPPLIES</v>
      </c>
      <c r="C68" s="12"/>
      <c r="D68" s="8">
        <v>165.38</v>
      </c>
      <c r="E68" s="3"/>
      <c r="F68" s="7">
        <f t="shared" si="54"/>
        <v>8.3939395938851854E-3</v>
      </c>
      <c r="G68" s="3"/>
      <c r="H68" s="8"/>
      <c r="I68" s="3"/>
      <c r="J68" s="7">
        <f t="shared" si="55"/>
        <v>0</v>
      </c>
      <c r="K68" s="3"/>
      <c r="L68" s="8">
        <f t="shared" si="56"/>
        <v>165.38</v>
      </c>
      <c r="M68" s="3"/>
      <c r="N68" s="7">
        <f t="shared" si="57"/>
        <v>0</v>
      </c>
      <c r="O68" s="12"/>
      <c r="P68" s="8">
        <v>165.38</v>
      </c>
      <c r="Q68" s="3"/>
      <c r="R68" s="7">
        <f t="shared" si="58"/>
        <v>8.3939395938851854E-3</v>
      </c>
      <c r="S68" s="3"/>
      <c r="T68" s="8"/>
      <c r="U68" s="3"/>
      <c r="V68" s="7">
        <f t="shared" si="59"/>
        <v>0</v>
      </c>
      <c r="W68" s="3"/>
      <c r="X68" s="8">
        <f t="shared" si="60"/>
        <v>165.38</v>
      </c>
      <c r="Y68" s="3"/>
      <c r="Z68" s="7">
        <f t="shared" si="61"/>
        <v>0</v>
      </c>
    </row>
    <row r="69" spans="1:26" s="29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SUM(OSRRefD22_14x_0)</f>
        <v>307</v>
      </c>
      <c r="E69" s="1"/>
      <c r="F69" s="5">
        <f t="shared" ref="F69:F72" si="62">IF(D$12=0,0,D69/D$12)</f>
        <v>1.5581929225557817E-2</v>
      </c>
      <c r="G69" s="1"/>
      <c r="H69" s="1">
        <f>SUM(OSRRefH22_14x_0)</f>
        <v>232</v>
      </c>
      <c r="I69" s="1"/>
      <c r="J69" s="5">
        <f t="shared" ref="J69:J72" si="63">IF(H$12=0,0,H69/H$12)</f>
        <v>0</v>
      </c>
      <c r="K69" s="1"/>
      <c r="L69" s="1">
        <f t="shared" ref="L69:L72" si="64">+D69-H69</f>
        <v>75</v>
      </c>
      <c r="M69" s="1"/>
      <c r="N69" s="5">
        <f t="shared" ref="N69:N72" si="65">IF(H69=0,0,L69/H69)</f>
        <v>0.32327586206896552</v>
      </c>
      <c r="O69" s="14"/>
      <c r="P69" s="1">
        <f>SUM(OSRRefP22_14x_0)</f>
        <v>307</v>
      </c>
      <c r="Q69" s="1"/>
      <c r="R69" s="5">
        <f t="shared" ref="R69:R72" si="66">IF(P$12=0,0,P69/P$12)</f>
        <v>1.5581929225557817E-2</v>
      </c>
      <c r="S69" s="1"/>
      <c r="T69" s="1">
        <f>SUM(OSRRefT22_14x_0)</f>
        <v>232</v>
      </c>
      <c r="U69" s="1"/>
      <c r="V69" s="5">
        <f t="shared" ref="V69:V72" si="67">IF(T$12=0,0,T69/T$12)</f>
        <v>0</v>
      </c>
      <c r="W69" s="1"/>
      <c r="X69" s="1">
        <f t="shared" ref="X69:X72" si="68">+P69-T69</f>
        <v>75</v>
      </c>
      <c r="Y69" s="1"/>
      <c r="Z69" s="5">
        <f t="shared" ref="Z69:Z72" si="69">IF(T69=0,0,X69/T69)</f>
        <v>0.32327586206896552</v>
      </c>
    </row>
    <row r="70" spans="1:26" s="24" customFormat="1" hidden="1" outlineLevel="2" x14ac:dyDescent="0.3">
      <c r="A70" s="27"/>
      <c r="B70" s="12" t="str">
        <f>CONCATENATE("          ", "6309", " - ", "TELEPHONE")</f>
        <v xml:space="preserve">          6309 - TELEPHONE</v>
      </c>
      <c r="C70" s="12"/>
      <c r="D70" s="8">
        <v>307</v>
      </c>
      <c r="E70" s="3"/>
      <c r="F70" s="7">
        <f t="shared" si="62"/>
        <v>1.5581929225557817E-2</v>
      </c>
      <c r="G70" s="3"/>
      <c r="H70" s="8">
        <v>232</v>
      </c>
      <c r="I70" s="3"/>
      <c r="J70" s="7">
        <f t="shared" si="63"/>
        <v>0</v>
      </c>
      <c r="K70" s="3"/>
      <c r="L70" s="8">
        <f t="shared" si="64"/>
        <v>75</v>
      </c>
      <c r="M70" s="3"/>
      <c r="N70" s="7">
        <f t="shared" si="65"/>
        <v>0.32327586206896552</v>
      </c>
      <c r="O70" s="12"/>
      <c r="P70" s="8">
        <v>307</v>
      </c>
      <c r="Q70" s="3"/>
      <c r="R70" s="7">
        <f t="shared" si="66"/>
        <v>1.5581929225557817E-2</v>
      </c>
      <c r="S70" s="3"/>
      <c r="T70" s="8">
        <v>232</v>
      </c>
      <c r="U70" s="3"/>
      <c r="V70" s="7">
        <f t="shared" si="67"/>
        <v>0</v>
      </c>
      <c r="W70" s="3"/>
      <c r="X70" s="8">
        <f t="shared" si="68"/>
        <v>75</v>
      </c>
      <c r="Y70" s="3"/>
      <c r="Z70" s="7">
        <f t="shared" si="69"/>
        <v>0.32327586206896552</v>
      </c>
    </row>
    <row r="71" spans="1:26" s="29" customFormat="1" outlineLevel="1" collapsed="1" x14ac:dyDescent="0.3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SUM(OSRRefD22_15x_0)</f>
        <v>2400</v>
      </c>
      <c r="E71" s="1"/>
      <c r="F71" s="5">
        <f t="shared" si="62"/>
        <v>0.12181312749621746</v>
      </c>
      <c r="G71" s="1"/>
      <c r="H71" s="1">
        <f>SUM(OSRRefH22_15x_0)</f>
        <v>2300</v>
      </c>
      <c r="I71" s="1"/>
      <c r="J71" s="5">
        <f t="shared" si="63"/>
        <v>0</v>
      </c>
      <c r="K71" s="1"/>
      <c r="L71" s="1">
        <f t="shared" si="64"/>
        <v>100</v>
      </c>
      <c r="M71" s="1"/>
      <c r="N71" s="5">
        <f t="shared" si="65"/>
        <v>4.3478260869565216E-2</v>
      </c>
      <c r="O71" s="14"/>
      <c r="P71" s="1">
        <f>SUM(OSRRefP22_15x_0)</f>
        <v>2400</v>
      </c>
      <c r="Q71" s="1"/>
      <c r="R71" s="5">
        <f t="shared" si="66"/>
        <v>0.12181312749621746</v>
      </c>
      <c r="S71" s="1"/>
      <c r="T71" s="1">
        <f>SUM(OSRRefT22_15x_0)</f>
        <v>2300</v>
      </c>
      <c r="U71" s="1"/>
      <c r="V71" s="5">
        <f t="shared" si="67"/>
        <v>0</v>
      </c>
      <c r="W71" s="1"/>
      <c r="X71" s="1">
        <f t="shared" si="68"/>
        <v>100</v>
      </c>
      <c r="Y71" s="1"/>
      <c r="Z71" s="5">
        <f t="shared" si="69"/>
        <v>4.3478260869565216E-2</v>
      </c>
    </row>
    <row r="72" spans="1:26" s="24" customFormat="1" hidden="1" outlineLevel="2" x14ac:dyDescent="0.3">
      <c r="A72" s="27"/>
      <c r="B72" s="12" t="str">
        <f>CONCATENATE("          ", "6274", " - ", "UTILITIES")</f>
        <v xml:space="preserve">          6274 - UTILITIES</v>
      </c>
      <c r="C72" s="12"/>
      <c r="D72" s="8">
        <v>2400</v>
      </c>
      <c r="E72" s="3"/>
      <c r="F72" s="7">
        <f t="shared" si="62"/>
        <v>0.12181312749621746</v>
      </c>
      <c r="G72" s="3"/>
      <c r="H72" s="8">
        <v>2300</v>
      </c>
      <c r="I72" s="3"/>
      <c r="J72" s="7">
        <f t="shared" si="63"/>
        <v>0</v>
      </c>
      <c r="K72" s="3"/>
      <c r="L72" s="8">
        <f t="shared" si="64"/>
        <v>100</v>
      </c>
      <c r="M72" s="3"/>
      <c r="N72" s="7">
        <f t="shared" si="65"/>
        <v>4.3478260869565216E-2</v>
      </c>
      <c r="O72" s="12"/>
      <c r="P72" s="8">
        <v>2400</v>
      </c>
      <c r="Q72" s="3"/>
      <c r="R72" s="7">
        <f t="shared" si="66"/>
        <v>0.12181312749621746</v>
      </c>
      <c r="S72" s="3"/>
      <c r="T72" s="8">
        <v>2300</v>
      </c>
      <c r="U72" s="3"/>
      <c r="V72" s="7">
        <f t="shared" si="67"/>
        <v>0</v>
      </c>
      <c r="W72" s="3"/>
      <c r="X72" s="8">
        <f t="shared" si="68"/>
        <v>100</v>
      </c>
      <c r="Y72" s="3"/>
      <c r="Z72" s="7">
        <f t="shared" si="69"/>
        <v>4.3478260869565216E-2</v>
      </c>
    </row>
    <row r="73" spans="1:26" s="53" customFormat="1" x14ac:dyDescent="0.3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292</v>
      </c>
      <c r="C74" s="10"/>
      <c r="D74" s="4">
        <f>SUM(OSRRefD25x_0)</f>
        <v>2.33</v>
      </c>
      <c r="E74" s="4"/>
      <c r="F74" s="11">
        <f t="shared" ref="F74:F75" si="70">IF(D$12=0,0,D74/D$12)</f>
        <v>1.1826024461091113E-4</v>
      </c>
      <c r="G74" s="4"/>
      <c r="H74" s="4">
        <f>SUM(OSRRefH25x_0)</f>
        <v>0</v>
      </c>
      <c r="I74" s="4"/>
      <c r="J74" s="11">
        <f t="shared" ref="J74:J75" si="71">IF(H$12=0,0,H74/H$12)</f>
        <v>0</v>
      </c>
      <c r="K74" s="4"/>
      <c r="L74" s="4">
        <f t="shared" ref="L74:L75" si="72">+D74-H74</f>
        <v>2.33</v>
      </c>
      <c r="M74" s="4"/>
      <c r="N74" s="11">
        <f t="shared" ref="N74:N75" si="73">IF(H74=0,0,L74/H74)</f>
        <v>0</v>
      </c>
      <c r="O74" s="10"/>
      <c r="P74" s="4">
        <f>SUM(OSRRefP25x_0)</f>
        <v>2.33</v>
      </c>
      <c r="Q74" s="4"/>
      <c r="R74" s="11">
        <f t="shared" ref="R74:R75" si="74">IF(P$12=0,0,P74/P$12)</f>
        <v>1.1826024461091113E-4</v>
      </c>
      <c r="S74" s="4"/>
      <c r="T74" s="4">
        <f>SUM(OSRRefT25x_0)</f>
        <v>0</v>
      </c>
      <c r="U74" s="4"/>
      <c r="V74" s="11">
        <f t="shared" ref="V74:V75" si="75">IF(T$12=0,0,T74/T$12)</f>
        <v>0</v>
      </c>
      <c r="W74" s="4"/>
      <c r="X74" s="4">
        <f t="shared" ref="X74:X75" si="76">+P74-T74</f>
        <v>2.33</v>
      </c>
      <c r="Y74" s="4"/>
      <c r="Z74" s="11">
        <f t="shared" ref="Z74:Z75" si="77">IF(T74=0,0,X74/T74)</f>
        <v>0</v>
      </c>
    </row>
    <row r="75" spans="1:26" s="24" customFormat="1" hidden="1" outlineLevel="1" x14ac:dyDescent="0.3">
      <c r="A75" s="50"/>
      <c r="B75" s="12" t="str">
        <f>CONCATENATE("          ", "9150", " - ", "MISC. INCOME")</f>
        <v xml:space="preserve">          9150 - MISC. INCOME</v>
      </c>
      <c r="C75" s="12"/>
      <c r="D75" s="3">
        <f>--2.33</f>
        <v>2.33</v>
      </c>
      <c r="E75" s="3"/>
      <c r="F75" s="22">
        <f t="shared" si="70"/>
        <v>1.1826024461091113E-4</v>
      </c>
      <c r="G75" s="3"/>
      <c r="H75" s="3">
        <f>0</f>
        <v>0</v>
      </c>
      <c r="I75" s="3"/>
      <c r="J75" s="22">
        <f t="shared" si="71"/>
        <v>0</v>
      </c>
      <c r="K75" s="3"/>
      <c r="L75" s="3">
        <f t="shared" si="72"/>
        <v>2.33</v>
      </c>
      <c r="M75" s="3"/>
      <c r="N75" s="22">
        <f t="shared" si="73"/>
        <v>0</v>
      </c>
      <c r="O75" s="12"/>
      <c r="P75" s="3">
        <f>--2.33</f>
        <v>2.33</v>
      </c>
      <c r="Q75" s="3"/>
      <c r="R75" s="22">
        <f t="shared" si="74"/>
        <v>1.1826024461091113E-4</v>
      </c>
      <c r="S75" s="3"/>
      <c r="T75" s="3">
        <f>0</f>
        <v>0</v>
      </c>
      <c r="U75" s="3"/>
      <c r="V75" s="22">
        <f t="shared" si="75"/>
        <v>0</v>
      </c>
      <c r="W75" s="3"/>
      <c r="X75" s="3">
        <f t="shared" si="76"/>
        <v>2.33</v>
      </c>
      <c r="Y75" s="3"/>
      <c r="Z75" s="22">
        <f t="shared" si="77"/>
        <v>0</v>
      </c>
    </row>
    <row r="76" spans="1:26" x14ac:dyDescent="0.3">
      <c r="A76" s="9"/>
      <c r="B76" s="10"/>
      <c r="C76" s="10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10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x14ac:dyDescent="0.3">
      <c r="A77" s="10"/>
      <c r="B77" s="26" t="s">
        <v>276</v>
      </c>
      <c r="C77" s="26"/>
      <c r="D77" s="20">
        <f>+D20-D22+D74</f>
        <v>-46410.609999999986</v>
      </c>
      <c r="E77" s="13"/>
      <c r="F77" s="21">
        <f>IF(D$12=0,0,D77/D$12)</f>
        <v>-2.3555923137946766</v>
      </c>
      <c r="G77" s="13"/>
      <c r="H77" s="20">
        <f>+H20-H22+H74</f>
        <v>-56656.840000000004</v>
      </c>
      <c r="I77" s="13"/>
      <c r="J77" s="21">
        <f>IF(H$12=0,0,H77/H$12)</f>
        <v>0</v>
      </c>
      <c r="K77" s="16"/>
      <c r="L77" s="20">
        <f>+D77-H77</f>
        <v>10246.230000000018</v>
      </c>
      <c r="M77" s="16"/>
      <c r="N77" s="21">
        <f>IF(H77=0,0,L77/H77)</f>
        <v>-0.18084718455882851</v>
      </c>
      <c r="O77" s="25"/>
      <c r="P77" s="20">
        <f>+P20-P22+P74</f>
        <v>-46410.609999999986</v>
      </c>
      <c r="Q77" s="13"/>
      <c r="R77" s="21">
        <f>IF(P$12=0,0,P77/P$12)</f>
        <v>-2.3555923137946766</v>
      </c>
      <c r="S77" s="13"/>
      <c r="T77" s="20">
        <f>+T20-T22+T74</f>
        <v>-56656.840000000004</v>
      </c>
      <c r="U77" s="13"/>
      <c r="V77" s="21">
        <f>IF(T$12=0,0,T77/T$12)</f>
        <v>0</v>
      </c>
      <c r="W77" s="16"/>
      <c r="X77" s="20">
        <f>+P77-T77</f>
        <v>10246.230000000018</v>
      </c>
      <c r="Y77" s="16"/>
      <c r="Z77" s="21">
        <f>IF(T77=0,0,X77/T77)</f>
        <v>-0.18084718455882851</v>
      </c>
    </row>
    <row r="78" spans="1:26" x14ac:dyDescent="0.3">
      <c r="A78" s="9"/>
      <c r="B78" s="10"/>
      <c r="C78" s="9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x14ac:dyDescent="0.3">
      <c r="A79" s="51"/>
      <c r="B79" s="10" t="s">
        <v>127</v>
      </c>
      <c r="C79" s="10"/>
      <c r="D79" s="4">
        <v>9102.39</v>
      </c>
      <c r="E79" s="4"/>
      <c r="F79" s="11">
        <f>IF(D$12=0,0,D79/D$12)</f>
        <v>0.46199608066262282</v>
      </c>
      <c r="G79" s="4"/>
      <c r="H79" s="4"/>
      <c r="I79" s="4"/>
      <c r="J79" s="11">
        <f>IF(H$12=0,0,H79/H$12)</f>
        <v>0</v>
      </c>
      <c r="K79" s="4"/>
      <c r="L79" s="4">
        <f>+D79-H79</f>
        <v>9102.39</v>
      </c>
      <c r="M79" s="4"/>
      <c r="N79" s="11">
        <f>IF(H79=0,0,L79/H79)</f>
        <v>0</v>
      </c>
      <c r="O79" s="10"/>
      <c r="P79" s="4">
        <v>9102.39</v>
      </c>
      <c r="Q79" s="4"/>
      <c r="R79" s="11">
        <f>IF(P$12=0,0,P79/P$12)</f>
        <v>0.46199608066262282</v>
      </c>
      <c r="S79" s="4"/>
      <c r="T79" s="4"/>
      <c r="U79" s="4"/>
      <c r="V79" s="11">
        <f>IF(T$12=0,0,T79/T$12)</f>
        <v>0</v>
      </c>
      <c r="W79" s="4"/>
      <c r="X79" s="4">
        <f>+P79-T79</f>
        <v>9102.39</v>
      </c>
      <c r="Y79" s="4"/>
      <c r="Z79" s="11">
        <f>IF(T79=0,0,X79/T79)</f>
        <v>0</v>
      </c>
    </row>
    <row r="80" spans="1:26" x14ac:dyDescent="0.3">
      <c r="A80" s="9"/>
      <c r="B80" s="10"/>
      <c r="C80" s="10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O80" s="10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s="23" customFormat="1" ht="15" thickBot="1" x14ac:dyDescent="0.35">
      <c r="A81" s="10"/>
      <c r="B81" s="26" t="s">
        <v>125</v>
      </c>
      <c r="C81" s="26"/>
      <c r="D81" s="36">
        <f>+D77-D79</f>
        <v>-55512.999999999985</v>
      </c>
      <c r="E81" s="13"/>
      <c r="F81" s="34">
        <f>IF(D$12=0,0,D81/D$12)</f>
        <v>-2.8175883944572995</v>
      </c>
      <c r="G81" s="13"/>
      <c r="H81" s="36">
        <f>+H77-H79</f>
        <v>-56656.840000000004</v>
      </c>
      <c r="I81" s="13"/>
      <c r="J81" s="34">
        <f>IF(H$12=0,0,H81/H$12)</f>
        <v>0</v>
      </c>
      <c r="K81" s="16"/>
      <c r="L81" s="36">
        <f>D81-H81</f>
        <v>1143.8400000000183</v>
      </c>
      <c r="M81" s="16"/>
      <c r="N81" s="34">
        <f>IF(H81=0,0,L81/H81)</f>
        <v>-2.0188912759695355E-2</v>
      </c>
      <c r="O81" s="25"/>
      <c r="P81" s="36">
        <f>+P77-P79</f>
        <v>-55512.999999999985</v>
      </c>
      <c r="Q81" s="13"/>
      <c r="R81" s="34">
        <f>IF(P$12=0,0,P81/P$12)</f>
        <v>-2.8175883944572995</v>
      </c>
      <c r="S81" s="13"/>
      <c r="T81" s="36">
        <f>+T77-T79</f>
        <v>-56656.840000000004</v>
      </c>
      <c r="U81" s="13"/>
      <c r="V81" s="34">
        <f>IF(T$12=0,0,T81/T$12)</f>
        <v>0</v>
      </c>
      <c r="W81" s="16"/>
      <c r="X81" s="36">
        <f>P81-T81</f>
        <v>1143.8400000000183</v>
      </c>
      <c r="Y81" s="16"/>
      <c r="Z81" s="34">
        <f>IF(T81=0,0,X81/T81)</f>
        <v>-2.0188912759695355E-2</v>
      </c>
    </row>
    <row r="82" spans="1:26" ht="15" thickTop="1" x14ac:dyDescent="0.3">
      <c r="A82" s="9"/>
      <c r="B82" s="9"/>
      <c r="C82" s="9"/>
      <c r="D82" s="2"/>
      <c r="E82" s="2"/>
      <c r="F82" s="6"/>
      <c r="G82" s="2"/>
      <c r="H82" s="2"/>
      <c r="I82" s="2"/>
      <c r="J82" s="6"/>
      <c r="K82" s="2"/>
      <c r="L82" s="2"/>
      <c r="M82" s="2"/>
      <c r="N82" s="6"/>
      <c r="P82" s="2"/>
      <c r="Q82" s="2"/>
      <c r="R82" s="6"/>
      <c r="S82" s="2"/>
      <c r="T82" s="2"/>
      <c r="U82" s="2"/>
      <c r="V82" s="6"/>
      <c r="W82" s="2"/>
      <c r="X82" s="2"/>
      <c r="Y82" s="2"/>
      <c r="Z82" s="6"/>
    </row>
    <row r="83" spans="1:26" x14ac:dyDescent="0.3">
      <c r="A83" s="9"/>
      <c r="B83" s="9"/>
      <c r="C83" s="9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23" customFormat="1" ht="15" thickBot="1" x14ac:dyDescent="0.35">
      <c r="A84" s="10"/>
      <c r="B84" s="26" t="s">
        <v>293</v>
      </c>
      <c r="C84" s="26"/>
      <c r="D84" s="31">
        <f>SUM(D81:D83)</f>
        <v>-55512.999999999985</v>
      </c>
      <c r="E84" s="13"/>
      <c r="F84" s="33">
        <f>IF(D$12=0,0,D84/D$12)</f>
        <v>-2.8175883944572995</v>
      </c>
      <c r="G84" s="13"/>
      <c r="H84" s="31">
        <f>SUM(H81:H83)</f>
        <v>-56656.840000000004</v>
      </c>
      <c r="I84" s="13"/>
      <c r="J84" s="33">
        <f>IF(H$12=0,0,H84/H$12)</f>
        <v>0</v>
      </c>
      <c r="K84" s="16"/>
      <c r="L84" s="31">
        <f>+D84-H84</f>
        <v>1143.8400000000183</v>
      </c>
      <c r="M84" s="16"/>
      <c r="N84" s="33">
        <f>IF(H84=0,0,L84/H84)</f>
        <v>-2.0188912759695355E-2</v>
      </c>
      <c r="O84" s="25"/>
      <c r="P84" s="31">
        <f>SUM(P81:P83)</f>
        <v>-55512.999999999985</v>
      </c>
      <c r="Q84" s="13"/>
      <c r="R84" s="33">
        <f>IF(P$12=0,0,P84/P$12)</f>
        <v>-2.8175883944572995</v>
      </c>
      <c r="S84" s="13"/>
      <c r="T84" s="31">
        <f>SUM(T81:T83)</f>
        <v>-56656.840000000004</v>
      </c>
      <c r="U84" s="13"/>
      <c r="V84" s="33">
        <f>IF(T$12=0,0,T84/T$12)</f>
        <v>0</v>
      </c>
      <c r="W84" s="16"/>
      <c r="X84" s="31">
        <f>+P84-T84</f>
        <v>1143.8400000000183</v>
      </c>
      <c r="Y84" s="16"/>
      <c r="Z84" s="33">
        <f>IF(T84=0,0,X84/T84)</f>
        <v>-2.0188912759695355E-2</v>
      </c>
    </row>
    <row r="85" spans="1:26" ht="15" thickTop="1" x14ac:dyDescent="0.3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59">
        <v>44462.666945868055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A87" s="9"/>
      <c r="B87" s="57" t="s">
        <v>56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3">
      <c r="A88" s="9"/>
      <c r="B88" s="61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3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21761.300000000003</v>
      </c>
      <c r="E18" s="19"/>
      <c r="F18" s="35">
        <f t="shared" ref="F18:F27" si="0">IF(D$12=0,0,D18/D$12)</f>
        <v>0</v>
      </c>
      <c r="G18" s="19"/>
      <c r="H18" s="19">
        <f>SUM(OSRRefH22x_0)</f>
        <v>17067.47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4693.8300000000017</v>
      </c>
      <c r="M18" s="4"/>
      <c r="N18" s="35">
        <f t="shared" ref="N18:N27" si="3">IF(H18=0,0,L18/H18)</f>
        <v>0.27501615646607269</v>
      </c>
      <c r="O18" s="10"/>
      <c r="P18" s="19">
        <f>SUM(OSRRefP22x_0)</f>
        <v>21761.300000000003</v>
      </c>
      <c r="Q18" s="19"/>
      <c r="R18" s="35">
        <f t="shared" ref="R18:R27" si="4">IF(P$12=0,0,P18/P$12)</f>
        <v>0</v>
      </c>
      <c r="S18" s="19"/>
      <c r="T18" s="19">
        <f>SUM(OSRRefT22x_0)</f>
        <v>17067.47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4693.8300000000017</v>
      </c>
      <c r="Y18" s="4"/>
      <c r="Z18" s="35">
        <f t="shared" ref="Z18:Z27" si="7">IF(T18=0,0,X18/T18)</f>
        <v>0.27501615646607269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5008.0300000000007</v>
      </c>
      <c r="E19" s="1"/>
      <c r="F19" s="5">
        <f t="shared" si="0"/>
        <v>0</v>
      </c>
      <c r="G19" s="1"/>
      <c r="H19" s="1">
        <f>SUM(OSRRefH22_0x_0)</f>
        <v>6083.9599999999991</v>
      </c>
      <c r="I19" s="1"/>
      <c r="J19" s="5">
        <f t="shared" si="1"/>
        <v>0</v>
      </c>
      <c r="K19" s="1"/>
      <c r="L19" s="1">
        <f t="shared" si="2"/>
        <v>-1075.9299999999985</v>
      </c>
      <c r="M19" s="1"/>
      <c r="N19" s="5">
        <f t="shared" si="3"/>
        <v>-0.1768469878171452</v>
      </c>
      <c r="O19" s="14"/>
      <c r="P19" s="1">
        <f>SUM(OSRRefP22_0x_0)</f>
        <v>5008.0300000000007</v>
      </c>
      <c r="Q19" s="1"/>
      <c r="R19" s="5">
        <f t="shared" si="4"/>
        <v>0</v>
      </c>
      <c r="S19" s="1"/>
      <c r="T19" s="1">
        <f>SUM(OSRRefT22_0x_0)</f>
        <v>6083.9599999999991</v>
      </c>
      <c r="U19" s="1"/>
      <c r="V19" s="5">
        <f t="shared" si="5"/>
        <v>0</v>
      </c>
      <c r="W19" s="1"/>
      <c r="X19" s="1">
        <f t="shared" si="6"/>
        <v>-1075.9299999999985</v>
      </c>
      <c r="Y19" s="1"/>
      <c r="Z19" s="5">
        <f t="shared" si="7"/>
        <v>-0.1768469878171452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512.97</v>
      </c>
      <c r="E20" s="3"/>
      <c r="F20" s="7">
        <f t="shared" si="0"/>
        <v>0</v>
      </c>
      <c r="G20" s="3"/>
      <c r="H20" s="8">
        <v>235.15</v>
      </c>
      <c r="I20" s="3"/>
      <c r="J20" s="7">
        <f t="shared" si="1"/>
        <v>0</v>
      </c>
      <c r="K20" s="3"/>
      <c r="L20" s="8">
        <f t="shared" si="2"/>
        <v>277.82000000000005</v>
      </c>
      <c r="M20" s="3"/>
      <c r="N20" s="7">
        <f t="shared" si="3"/>
        <v>1.1814586434190943</v>
      </c>
      <c r="O20" s="12"/>
      <c r="P20" s="8">
        <v>512.97</v>
      </c>
      <c r="Q20" s="3"/>
      <c r="R20" s="7">
        <f t="shared" si="4"/>
        <v>0</v>
      </c>
      <c r="S20" s="3"/>
      <c r="T20" s="8">
        <v>235.15</v>
      </c>
      <c r="U20" s="3"/>
      <c r="V20" s="7">
        <f t="shared" si="5"/>
        <v>0</v>
      </c>
      <c r="W20" s="3"/>
      <c r="X20" s="8">
        <f t="shared" si="6"/>
        <v>277.82000000000005</v>
      </c>
      <c r="Y20" s="3"/>
      <c r="Z20" s="7">
        <f t="shared" si="7"/>
        <v>1.1814586434190943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240.59</v>
      </c>
      <c r="E21" s="3"/>
      <c r="F21" s="7">
        <f t="shared" si="0"/>
        <v>0</v>
      </c>
      <c r="G21" s="3"/>
      <c r="H21" s="8"/>
      <c r="I21" s="3"/>
      <c r="J21" s="7">
        <f t="shared" si="1"/>
        <v>0</v>
      </c>
      <c r="K21" s="3"/>
      <c r="L21" s="8">
        <f t="shared" si="2"/>
        <v>240.59</v>
      </c>
      <c r="M21" s="3"/>
      <c r="N21" s="7">
        <f t="shared" si="3"/>
        <v>0</v>
      </c>
      <c r="O21" s="12"/>
      <c r="P21" s="8">
        <v>240.59</v>
      </c>
      <c r="Q21" s="3"/>
      <c r="R21" s="7">
        <f t="shared" si="4"/>
        <v>0</v>
      </c>
      <c r="S21" s="3"/>
      <c r="T21" s="8"/>
      <c r="U21" s="3"/>
      <c r="V21" s="7">
        <f t="shared" si="5"/>
        <v>0</v>
      </c>
      <c r="W21" s="3"/>
      <c r="X21" s="8">
        <f t="shared" si="6"/>
        <v>240.59</v>
      </c>
      <c r="Y21" s="3"/>
      <c r="Z21" s="7">
        <f t="shared" si="7"/>
        <v>0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3353.46</v>
      </c>
      <c r="E22" s="3"/>
      <c r="F22" s="7">
        <f t="shared" si="0"/>
        <v>0</v>
      </c>
      <c r="G22" s="3"/>
      <c r="H22" s="8">
        <v>4780.67</v>
      </c>
      <c r="I22" s="3"/>
      <c r="J22" s="7">
        <f t="shared" si="1"/>
        <v>0</v>
      </c>
      <c r="K22" s="3"/>
      <c r="L22" s="8">
        <f t="shared" si="2"/>
        <v>-1427.21</v>
      </c>
      <c r="M22" s="3"/>
      <c r="N22" s="7">
        <f t="shared" si="3"/>
        <v>-0.29853765267211502</v>
      </c>
      <c r="O22" s="12"/>
      <c r="P22" s="8">
        <v>3353.46</v>
      </c>
      <c r="Q22" s="3"/>
      <c r="R22" s="7">
        <f t="shared" si="4"/>
        <v>0</v>
      </c>
      <c r="S22" s="3"/>
      <c r="T22" s="8">
        <v>4780.67</v>
      </c>
      <c r="U22" s="3"/>
      <c r="V22" s="7">
        <f t="shared" si="5"/>
        <v>0</v>
      </c>
      <c r="W22" s="3"/>
      <c r="X22" s="8">
        <f t="shared" si="6"/>
        <v>-1427.21</v>
      </c>
      <c r="Y22" s="3"/>
      <c r="Z22" s="7">
        <f t="shared" si="7"/>
        <v>-0.29853765267211502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17.43</v>
      </c>
      <c r="E23" s="3"/>
      <c r="F23" s="7">
        <f t="shared" si="0"/>
        <v>0</v>
      </c>
      <c r="G23" s="3"/>
      <c r="H23" s="8"/>
      <c r="I23" s="3"/>
      <c r="J23" s="7">
        <f t="shared" si="1"/>
        <v>0</v>
      </c>
      <c r="K23" s="3"/>
      <c r="L23" s="8">
        <f t="shared" si="2"/>
        <v>17.43</v>
      </c>
      <c r="M23" s="3"/>
      <c r="N23" s="7">
        <f t="shared" si="3"/>
        <v>0</v>
      </c>
      <c r="O23" s="12"/>
      <c r="P23" s="8">
        <v>17.43</v>
      </c>
      <c r="Q23" s="3"/>
      <c r="R23" s="7">
        <f t="shared" si="4"/>
        <v>0</v>
      </c>
      <c r="S23" s="3"/>
      <c r="T23" s="8"/>
      <c r="U23" s="3"/>
      <c r="V23" s="7">
        <f t="shared" si="5"/>
        <v>0</v>
      </c>
      <c r="W23" s="3"/>
      <c r="X23" s="8">
        <f t="shared" si="6"/>
        <v>17.43</v>
      </c>
      <c r="Y23" s="3"/>
      <c r="Z23" s="7">
        <f t="shared" si="7"/>
        <v>0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678.15</v>
      </c>
      <c r="I24" s="3"/>
      <c r="J24" s="7">
        <f t="shared" si="1"/>
        <v>0</v>
      </c>
      <c r="K24" s="3"/>
      <c r="L24" s="8">
        <f t="shared" si="2"/>
        <v>-678.15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678.15</v>
      </c>
      <c r="U24" s="3"/>
      <c r="V24" s="7">
        <f t="shared" si="5"/>
        <v>0</v>
      </c>
      <c r="W24" s="3"/>
      <c r="X24" s="8">
        <f t="shared" si="6"/>
        <v>-678.15</v>
      </c>
      <c r="Y24" s="3"/>
      <c r="Z24" s="7">
        <f t="shared" si="7"/>
        <v>-1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277.64</v>
      </c>
      <c r="E25" s="3"/>
      <c r="F25" s="7">
        <f t="shared" si="0"/>
        <v>0</v>
      </c>
      <c r="G25" s="3"/>
      <c r="H25" s="8">
        <v>248.21</v>
      </c>
      <c r="I25" s="3"/>
      <c r="J25" s="7">
        <f t="shared" si="1"/>
        <v>0</v>
      </c>
      <c r="K25" s="3"/>
      <c r="L25" s="8">
        <f t="shared" si="2"/>
        <v>29.429999999999978</v>
      </c>
      <c r="M25" s="3"/>
      <c r="N25" s="7">
        <f t="shared" si="3"/>
        <v>0.11856895370855315</v>
      </c>
      <c r="O25" s="12"/>
      <c r="P25" s="8">
        <v>277.64</v>
      </c>
      <c r="Q25" s="3"/>
      <c r="R25" s="7">
        <f t="shared" si="4"/>
        <v>0</v>
      </c>
      <c r="S25" s="3"/>
      <c r="T25" s="8">
        <v>248.21</v>
      </c>
      <c r="U25" s="3"/>
      <c r="V25" s="7">
        <f t="shared" si="5"/>
        <v>0</v>
      </c>
      <c r="W25" s="3"/>
      <c r="X25" s="8">
        <f t="shared" si="6"/>
        <v>29.429999999999978</v>
      </c>
      <c r="Y25" s="3"/>
      <c r="Z25" s="7">
        <f t="shared" si="7"/>
        <v>0.11856895370855315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263.87</v>
      </c>
      <c r="E26" s="3"/>
      <c r="F26" s="7">
        <f t="shared" si="0"/>
        <v>0</v>
      </c>
      <c r="G26" s="3"/>
      <c r="H26" s="8">
        <v>141.78</v>
      </c>
      <c r="I26" s="3"/>
      <c r="J26" s="7">
        <f t="shared" si="1"/>
        <v>0</v>
      </c>
      <c r="K26" s="3"/>
      <c r="L26" s="8">
        <f t="shared" si="2"/>
        <v>122.09</v>
      </c>
      <c r="M26" s="3"/>
      <c r="N26" s="7">
        <f t="shared" si="3"/>
        <v>0.86112286641275215</v>
      </c>
      <c r="O26" s="12"/>
      <c r="P26" s="8">
        <v>263.87</v>
      </c>
      <c r="Q26" s="3"/>
      <c r="R26" s="7">
        <f t="shared" si="4"/>
        <v>0</v>
      </c>
      <c r="S26" s="3"/>
      <c r="T26" s="8">
        <v>141.78</v>
      </c>
      <c r="U26" s="3"/>
      <c r="V26" s="7">
        <f t="shared" si="5"/>
        <v>0</v>
      </c>
      <c r="W26" s="3"/>
      <c r="X26" s="8">
        <f t="shared" si="6"/>
        <v>122.09</v>
      </c>
      <c r="Y26" s="3"/>
      <c r="Z26" s="7">
        <f t="shared" si="7"/>
        <v>0.86112286641275215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342.07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342.07</v>
      </c>
      <c r="M27" s="3"/>
      <c r="N27" s="7">
        <f t="shared" si="3"/>
        <v>0</v>
      </c>
      <c r="O27" s="12"/>
      <c r="P27" s="8">
        <v>342.07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342.07</v>
      </c>
      <c r="Y27" s="3"/>
      <c r="Z27" s="7">
        <f t="shared" si="7"/>
        <v>0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8439.6</v>
      </c>
      <c r="E28" s="1"/>
      <c r="F28" s="5">
        <f t="shared" ref="F28:F32" si="8">IF(D$12=0,0,D28/D$12)</f>
        <v>0</v>
      </c>
      <c r="G28" s="1"/>
      <c r="H28" s="1">
        <f>SUM(OSRRefH22_1x_0)</f>
        <v>2151.69</v>
      </c>
      <c r="I28" s="1"/>
      <c r="J28" s="5">
        <f t="shared" ref="J28:J32" si="9">IF(H$12=0,0,H28/H$12)</f>
        <v>0</v>
      </c>
      <c r="K28" s="1"/>
      <c r="L28" s="1">
        <f t="shared" ref="L28:L32" si="10">+D28-H28</f>
        <v>6287.91</v>
      </c>
      <c r="M28" s="1"/>
      <c r="N28" s="5">
        <f t="shared" ref="N28:N32" si="11">IF(H28=0,0,L28/H28)</f>
        <v>2.9223122289920944</v>
      </c>
      <c r="O28" s="14"/>
      <c r="P28" s="1">
        <f>SUM(OSRRefP22_1x_0)</f>
        <v>8439.6</v>
      </c>
      <c r="Q28" s="1"/>
      <c r="R28" s="5">
        <f t="shared" ref="R28:R32" si="12">IF(P$12=0,0,P28/P$12)</f>
        <v>0</v>
      </c>
      <c r="S28" s="1"/>
      <c r="T28" s="1">
        <f>SUM(OSRRefT22_1x_0)</f>
        <v>2151.69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6287.91</v>
      </c>
      <c r="Y28" s="1"/>
      <c r="Z28" s="5">
        <f t="shared" ref="Z28:Z32" si="15">IF(T28=0,0,X28/T28)</f>
        <v>2.9223122289920944</v>
      </c>
    </row>
    <row r="29" spans="1:26" s="24" customFormat="1" hidden="1" outlineLevel="2" x14ac:dyDescent="0.3">
      <c r="A29" s="27"/>
      <c r="B29" s="12" t="str">
        <f>CONCATENATE("          ", "6002", " - ", "STAFF SALARIES")</f>
        <v xml:space="preserve">          6002 - STAFF SALARIES</v>
      </c>
      <c r="C29" s="12"/>
      <c r="D29" s="8"/>
      <c r="E29" s="3"/>
      <c r="F29" s="7">
        <f t="shared" si="8"/>
        <v>0</v>
      </c>
      <c r="G29" s="3"/>
      <c r="H29" s="8">
        <v>2151.69</v>
      </c>
      <c r="I29" s="3"/>
      <c r="J29" s="7">
        <f t="shared" si="9"/>
        <v>0</v>
      </c>
      <c r="K29" s="3"/>
      <c r="L29" s="8">
        <f t="shared" si="10"/>
        <v>-2151.69</v>
      </c>
      <c r="M29" s="3"/>
      <c r="N29" s="7">
        <f t="shared" si="11"/>
        <v>-1</v>
      </c>
      <c r="O29" s="12"/>
      <c r="P29" s="8"/>
      <c r="Q29" s="3"/>
      <c r="R29" s="7">
        <f t="shared" si="12"/>
        <v>0</v>
      </c>
      <c r="S29" s="3"/>
      <c r="T29" s="8">
        <v>2151.69</v>
      </c>
      <c r="U29" s="3"/>
      <c r="V29" s="7">
        <f t="shared" si="13"/>
        <v>0</v>
      </c>
      <c r="W29" s="3"/>
      <c r="X29" s="8">
        <f t="shared" si="14"/>
        <v>-2151.69</v>
      </c>
      <c r="Y29" s="3"/>
      <c r="Z29" s="7">
        <f t="shared" si="15"/>
        <v>-1</v>
      </c>
    </row>
    <row r="30" spans="1:26" s="24" customFormat="1" hidden="1" outlineLevel="2" x14ac:dyDescent="0.3">
      <c r="A30" s="27"/>
      <c r="B30" s="12" t="str">
        <f>CONCATENATE("          ", "6004", " - ", "STAFF HOURLY")</f>
        <v xml:space="preserve">          6004 - STAFF HOURLY</v>
      </c>
      <c r="C30" s="12"/>
      <c r="D30" s="8">
        <v>4731.2700000000004</v>
      </c>
      <c r="E30" s="3"/>
      <c r="F30" s="7">
        <f t="shared" si="8"/>
        <v>0</v>
      </c>
      <c r="G30" s="3"/>
      <c r="H30" s="8"/>
      <c r="I30" s="3"/>
      <c r="J30" s="7">
        <f t="shared" si="9"/>
        <v>0</v>
      </c>
      <c r="K30" s="3"/>
      <c r="L30" s="8">
        <f t="shared" si="10"/>
        <v>4731.2700000000004</v>
      </c>
      <c r="M30" s="3"/>
      <c r="N30" s="7">
        <f t="shared" si="11"/>
        <v>0</v>
      </c>
      <c r="O30" s="12"/>
      <c r="P30" s="8">
        <v>4731.2700000000004</v>
      </c>
      <c r="Q30" s="3"/>
      <c r="R30" s="7">
        <f t="shared" si="12"/>
        <v>0</v>
      </c>
      <c r="S30" s="3"/>
      <c r="T30" s="8"/>
      <c r="U30" s="3"/>
      <c r="V30" s="7">
        <f t="shared" si="13"/>
        <v>0</v>
      </c>
      <c r="W30" s="3"/>
      <c r="X30" s="8">
        <f t="shared" si="14"/>
        <v>4731.2700000000004</v>
      </c>
      <c r="Y30" s="3"/>
      <c r="Z30" s="7">
        <f t="shared" si="15"/>
        <v>0</v>
      </c>
    </row>
    <row r="31" spans="1:26" s="24" customFormat="1" hidden="1" outlineLevel="2" x14ac:dyDescent="0.3">
      <c r="A31" s="27"/>
      <c r="B31" s="12" t="str">
        <f>CONCATENATE("          ", "6005", " - ", "TEMPORARY WAGES-HOURLY")</f>
        <v xml:space="preserve">          6005 - TEMPORARY WAGES-HOURLY</v>
      </c>
      <c r="C31" s="12"/>
      <c r="D31" s="8">
        <v>1542.33</v>
      </c>
      <c r="E31" s="3"/>
      <c r="F31" s="7">
        <f t="shared" si="8"/>
        <v>0</v>
      </c>
      <c r="G31" s="3"/>
      <c r="H31" s="8"/>
      <c r="I31" s="3"/>
      <c r="J31" s="7">
        <f t="shared" si="9"/>
        <v>0</v>
      </c>
      <c r="K31" s="3"/>
      <c r="L31" s="8">
        <f t="shared" si="10"/>
        <v>1542.33</v>
      </c>
      <c r="M31" s="3"/>
      <c r="N31" s="7">
        <f t="shared" si="11"/>
        <v>0</v>
      </c>
      <c r="O31" s="12"/>
      <c r="P31" s="8">
        <v>1542.33</v>
      </c>
      <c r="Q31" s="3"/>
      <c r="R31" s="7">
        <f t="shared" si="12"/>
        <v>0</v>
      </c>
      <c r="S31" s="3"/>
      <c r="T31" s="8"/>
      <c r="U31" s="3"/>
      <c r="V31" s="7">
        <f t="shared" si="13"/>
        <v>0</v>
      </c>
      <c r="W31" s="3"/>
      <c r="X31" s="8">
        <f t="shared" si="14"/>
        <v>1542.33</v>
      </c>
      <c r="Y31" s="3"/>
      <c r="Z31" s="7">
        <f t="shared" si="15"/>
        <v>0</v>
      </c>
    </row>
    <row r="32" spans="1:26" s="24" customFormat="1" hidden="1" outlineLevel="2" x14ac:dyDescent="0.3">
      <c r="A32" s="27"/>
      <c r="B32" s="12" t="str">
        <f>CONCATENATE("          ", "6007", " - ", "STUDENT HOURLY")</f>
        <v xml:space="preserve">          6007 - STUDENT HOURLY</v>
      </c>
      <c r="C32" s="12"/>
      <c r="D32" s="8">
        <v>2166</v>
      </c>
      <c r="E32" s="3"/>
      <c r="F32" s="7">
        <f t="shared" si="8"/>
        <v>0</v>
      </c>
      <c r="G32" s="3"/>
      <c r="H32" s="8"/>
      <c r="I32" s="3"/>
      <c r="J32" s="7">
        <f t="shared" si="9"/>
        <v>0</v>
      </c>
      <c r="K32" s="3"/>
      <c r="L32" s="8">
        <f t="shared" si="10"/>
        <v>2166</v>
      </c>
      <c r="M32" s="3"/>
      <c r="N32" s="7">
        <f t="shared" si="11"/>
        <v>0</v>
      </c>
      <c r="O32" s="12"/>
      <c r="P32" s="8">
        <v>2166</v>
      </c>
      <c r="Q32" s="3"/>
      <c r="R32" s="7">
        <f t="shared" si="12"/>
        <v>0</v>
      </c>
      <c r="S32" s="3"/>
      <c r="T32" s="8"/>
      <c r="U32" s="3"/>
      <c r="V32" s="7">
        <f t="shared" si="13"/>
        <v>0</v>
      </c>
      <c r="W32" s="3"/>
      <c r="X32" s="8">
        <f t="shared" si="14"/>
        <v>2166</v>
      </c>
      <c r="Y32" s="3"/>
      <c r="Z32" s="7">
        <f t="shared" si="15"/>
        <v>0</v>
      </c>
    </row>
    <row r="33" spans="1:26" s="29" customFormat="1" outlineLevel="1" collapsed="1" x14ac:dyDescent="0.3">
      <c r="A33" s="28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249.32</v>
      </c>
      <c r="E33" s="1"/>
      <c r="F33" s="5">
        <f t="shared" ref="F33:F39" si="16">IF(D$12=0,0,D33/D$12)</f>
        <v>0</v>
      </c>
      <c r="G33" s="1"/>
      <c r="H33" s="1">
        <f>SUM(OSRRefH22_2x_0)</f>
        <v>0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249.32</v>
      </c>
      <c r="M33" s="1"/>
      <c r="N33" s="5">
        <f t="shared" ref="N33:N39" si="19">IF(H33=0,0,L33/H33)</f>
        <v>0</v>
      </c>
      <c r="O33" s="14"/>
      <c r="P33" s="1">
        <f>SUM(OSRRefP22_2x_0)</f>
        <v>249.32</v>
      </c>
      <c r="Q33" s="1"/>
      <c r="R33" s="5">
        <f t="shared" ref="R33:R39" si="20">IF(P$12=0,0,P33/P$12)</f>
        <v>0</v>
      </c>
      <c r="S33" s="1"/>
      <c r="T33" s="1">
        <f>SUM(OSRRefT22_2x_0)</f>
        <v>0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249.32</v>
      </c>
      <c r="Y33" s="1"/>
      <c r="Z33" s="5">
        <f t="shared" ref="Z33:Z39" si="23">IF(T33=0,0,X33/T33)</f>
        <v>0</v>
      </c>
    </row>
    <row r="34" spans="1:26" s="24" customFormat="1" hidden="1" outlineLevel="2" x14ac:dyDescent="0.3">
      <c r="A34" s="27"/>
      <c r="B34" s="12" t="str">
        <f>CONCATENATE("          ", "6362", " - ", "ADVERTISING EXPENSE")</f>
        <v xml:space="preserve">          6362 - ADVERTISING EXPENSE</v>
      </c>
      <c r="C34" s="12"/>
      <c r="D34" s="8">
        <v>249.32</v>
      </c>
      <c r="E34" s="3"/>
      <c r="F34" s="7">
        <f t="shared" si="16"/>
        <v>0</v>
      </c>
      <c r="G34" s="3"/>
      <c r="H34" s="8"/>
      <c r="I34" s="3"/>
      <c r="J34" s="7">
        <f t="shared" si="17"/>
        <v>0</v>
      </c>
      <c r="K34" s="3"/>
      <c r="L34" s="8">
        <f t="shared" si="18"/>
        <v>249.32</v>
      </c>
      <c r="M34" s="3"/>
      <c r="N34" s="7">
        <f t="shared" si="19"/>
        <v>0</v>
      </c>
      <c r="O34" s="12"/>
      <c r="P34" s="8">
        <v>249.32</v>
      </c>
      <c r="Q34" s="3"/>
      <c r="R34" s="7">
        <f t="shared" si="20"/>
        <v>0</v>
      </c>
      <c r="S34" s="3"/>
      <c r="T34" s="8"/>
      <c r="U34" s="3"/>
      <c r="V34" s="7">
        <f t="shared" si="21"/>
        <v>0</v>
      </c>
      <c r="W34" s="3"/>
      <c r="X34" s="8">
        <f t="shared" si="22"/>
        <v>249.32</v>
      </c>
      <c r="Y34" s="3"/>
      <c r="Z34" s="7">
        <f t="shared" si="23"/>
        <v>0</v>
      </c>
    </row>
    <row r="35" spans="1:26" s="29" customFormat="1" outlineLevel="1" collapsed="1" x14ac:dyDescent="0.3">
      <c r="A35" s="28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SUM(OSRRefD22_3x_0)</f>
        <v>0.1</v>
      </c>
      <c r="E35" s="1"/>
      <c r="F35" s="5">
        <f t="shared" si="16"/>
        <v>0</v>
      </c>
      <c r="G35" s="1"/>
      <c r="H35" s="1">
        <f>SUM(OSRRefH22_3x_0)</f>
        <v>0</v>
      </c>
      <c r="I35" s="1"/>
      <c r="J35" s="5">
        <f t="shared" si="17"/>
        <v>0</v>
      </c>
      <c r="K35" s="1"/>
      <c r="L35" s="1">
        <f t="shared" si="18"/>
        <v>0.1</v>
      </c>
      <c r="M35" s="1"/>
      <c r="N35" s="5">
        <f t="shared" si="19"/>
        <v>0</v>
      </c>
      <c r="O35" s="14"/>
      <c r="P35" s="1">
        <f>SUM(OSRRefP22_3x_0)</f>
        <v>0.1</v>
      </c>
      <c r="Q35" s="1"/>
      <c r="R35" s="5">
        <f t="shared" si="20"/>
        <v>0</v>
      </c>
      <c r="S35" s="1"/>
      <c r="T35" s="1">
        <f>SUM(OSRRefT22_3x_0)</f>
        <v>0</v>
      </c>
      <c r="U35" s="1"/>
      <c r="V35" s="5">
        <f t="shared" si="21"/>
        <v>0</v>
      </c>
      <c r="W35" s="1"/>
      <c r="X35" s="1">
        <f t="shared" si="22"/>
        <v>0.1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2" t="str">
        <f>CONCATENATE("          ", "6381", " - ", "BANK/CREDIT CARD FEES")</f>
        <v xml:space="preserve">          6381 - BANK/CREDIT CARD FEES</v>
      </c>
      <c r="C36" s="12"/>
      <c r="D36" s="8">
        <v>0.1</v>
      </c>
      <c r="E36" s="3"/>
      <c r="F36" s="7">
        <f t="shared" si="16"/>
        <v>0</v>
      </c>
      <c r="G36" s="3"/>
      <c r="H36" s="8"/>
      <c r="I36" s="3"/>
      <c r="J36" s="7">
        <f t="shared" si="17"/>
        <v>0</v>
      </c>
      <c r="K36" s="3"/>
      <c r="L36" s="8">
        <f t="shared" si="18"/>
        <v>0.1</v>
      </c>
      <c r="M36" s="3"/>
      <c r="N36" s="7">
        <f t="shared" si="19"/>
        <v>0</v>
      </c>
      <c r="O36" s="12"/>
      <c r="P36" s="8">
        <v>0.1</v>
      </c>
      <c r="Q36" s="3"/>
      <c r="R36" s="7">
        <f t="shared" si="20"/>
        <v>0</v>
      </c>
      <c r="S36" s="3"/>
      <c r="T36" s="8"/>
      <c r="U36" s="3"/>
      <c r="V36" s="7">
        <f t="shared" si="21"/>
        <v>0</v>
      </c>
      <c r="W36" s="3"/>
      <c r="X36" s="8">
        <f t="shared" si="22"/>
        <v>0.1</v>
      </c>
      <c r="Y36" s="3"/>
      <c r="Z36" s="7">
        <f t="shared" si="23"/>
        <v>0</v>
      </c>
    </row>
    <row r="37" spans="1:26" s="29" customFormat="1" outlineLevel="1" collapsed="1" x14ac:dyDescent="0.3">
      <c r="A37" s="28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SUM(OSRRefD22_4x_0)</f>
        <v>6745.15</v>
      </c>
      <c r="E37" s="1"/>
      <c r="F37" s="5">
        <f t="shared" si="16"/>
        <v>0</v>
      </c>
      <c r="G37" s="1"/>
      <c r="H37" s="1">
        <f>SUM(OSRRefH22_4x_0)</f>
        <v>7177.55</v>
      </c>
      <c r="I37" s="1"/>
      <c r="J37" s="5">
        <f t="shared" si="17"/>
        <v>0</v>
      </c>
      <c r="K37" s="1"/>
      <c r="L37" s="1">
        <f t="shared" si="18"/>
        <v>-432.40000000000055</v>
      </c>
      <c r="M37" s="1"/>
      <c r="N37" s="5">
        <f t="shared" si="19"/>
        <v>-6.0243397816803858E-2</v>
      </c>
      <c r="O37" s="14"/>
      <c r="P37" s="1">
        <f>SUM(OSRRefP22_4x_0)</f>
        <v>6745.15</v>
      </c>
      <c r="Q37" s="1"/>
      <c r="R37" s="5">
        <f t="shared" si="20"/>
        <v>0</v>
      </c>
      <c r="S37" s="1"/>
      <c r="T37" s="1">
        <f>SUM(OSRRefT22_4x_0)</f>
        <v>7177.55</v>
      </c>
      <c r="U37" s="1"/>
      <c r="V37" s="5">
        <f t="shared" si="21"/>
        <v>0</v>
      </c>
      <c r="W37" s="1"/>
      <c r="X37" s="1">
        <f t="shared" si="22"/>
        <v>-432.40000000000055</v>
      </c>
      <c r="Y37" s="1"/>
      <c r="Z37" s="5">
        <f t="shared" si="23"/>
        <v>-6.0243397816803858E-2</v>
      </c>
    </row>
    <row r="38" spans="1:26" s="24" customFormat="1" hidden="1" outlineLevel="2" x14ac:dyDescent="0.3">
      <c r="A38" s="27"/>
      <c r="B38" s="12" t="str">
        <f>CONCATENATE("          ", "6321", " - ", "BUILDING DEPRECIATION")</f>
        <v xml:space="preserve">          6321 - BUILDING DEPRECIATION</v>
      </c>
      <c r="C38" s="12"/>
      <c r="D38" s="8">
        <v>6537.03</v>
      </c>
      <c r="E38" s="3"/>
      <c r="F38" s="7">
        <f t="shared" si="16"/>
        <v>0</v>
      </c>
      <c r="G38" s="3"/>
      <c r="H38" s="8">
        <v>6537.05</v>
      </c>
      <c r="I38" s="3"/>
      <c r="J38" s="7">
        <f t="shared" si="17"/>
        <v>0</v>
      </c>
      <c r="K38" s="3"/>
      <c r="L38" s="8">
        <f t="shared" si="18"/>
        <v>-2.0000000000436557E-2</v>
      </c>
      <c r="M38" s="3"/>
      <c r="N38" s="7">
        <f t="shared" si="19"/>
        <v>-3.0594840180871427E-6</v>
      </c>
      <c r="O38" s="12"/>
      <c r="P38" s="8">
        <v>6537.03</v>
      </c>
      <c r="Q38" s="3"/>
      <c r="R38" s="7">
        <f t="shared" si="20"/>
        <v>0</v>
      </c>
      <c r="S38" s="3"/>
      <c r="T38" s="8">
        <v>6537.05</v>
      </c>
      <c r="U38" s="3"/>
      <c r="V38" s="7">
        <f t="shared" si="21"/>
        <v>0</v>
      </c>
      <c r="W38" s="3"/>
      <c r="X38" s="8">
        <f t="shared" si="22"/>
        <v>-2.0000000000436557E-2</v>
      </c>
      <c r="Y38" s="3"/>
      <c r="Z38" s="7">
        <f t="shared" si="23"/>
        <v>-3.0594840180871427E-6</v>
      </c>
    </row>
    <row r="39" spans="1:26" s="24" customFormat="1" hidden="1" outlineLevel="2" x14ac:dyDescent="0.3">
      <c r="A39" s="27"/>
      <c r="B39" s="12" t="str">
        <f>CONCATENATE("          ", "6322", " - ", "EQUIPMENT DEPRECIATION EXPENSE")</f>
        <v xml:space="preserve">          6322 - EQUIPMENT DEPRECIATION EXPENSE</v>
      </c>
      <c r="C39" s="12"/>
      <c r="D39" s="8">
        <v>208.12</v>
      </c>
      <c r="E39" s="3"/>
      <c r="F39" s="7">
        <f t="shared" si="16"/>
        <v>0</v>
      </c>
      <c r="G39" s="3"/>
      <c r="H39" s="8">
        <v>640.5</v>
      </c>
      <c r="I39" s="3"/>
      <c r="J39" s="7">
        <f t="shared" si="17"/>
        <v>0</v>
      </c>
      <c r="K39" s="3"/>
      <c r="L39" s="8">
        <f t="shared" si="18"/>
        <v>-432.38</v>
      </c>
      <c r="M39" s="3"/>
      <c r="N39" s="7">
        <f t="shared" si="19"/>
        <v>-0.67506635441061669</v>
      </c>
      <c r="O39" s="12"/>
      <c r="P39" s="8">
        <v>208.12</v>
      </c>
      <c r="Q39" s="3"/>
      <c r="R39" s="7">
        <f t="shared" si="20"/>
        <v>0</v>
      </c>
      <c r="S39" s="3"/>
      <c r="T39" s="8">
        <v>640.5</v>
      </c>
      <c r="U39" s="3"/>
      <c r="V39" s="7">
        <f t="shared" si="21"/>
        <v>0</v>
      </c>
      <c r="W39" s="3"/>
      <c r="X39" s="8">
        <f t="shared" si="22"/>
        <v>-432.38</v>
      </c>
      <c r="Y39" s="3"/>
      <c r="Z39" s="7">
        <f t="shared" si="23"/>
        <v>-0.67506635441061669</v>
      </c>
    </row>
    <row r="40" spans="1:26" s="29" customFormat="1" outlineLevel="1" collapsed="1" x14ac:dyDescent="0.3">
      <c r="A40" s="28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215.47</v>
      </c>
      <c r="E40" s="1"/>
      <c r="F40" s="5">
        <f t="shared" ref="F40:F49" si="24">IF(D$12=0,0,D40/D$12)</f>
        <v>0</v>
      </c>
      <c r="G40" s="1"/>
      <c r="H40" s="1">
        <f>SUM(OSRRefH22_5x_0)</f>
        <v>263.72000000000003</v>
      </c>
      <c r="I40" s="1"/>
      <c r="J40" s="5">
        <f t="shared" ref="J40:J49" si="25">IF(H$12=0,0,H40/H$12)</f>
        <v>0</v>
      </c>
      <c r="K40" s="1"/>
      <c r="L40" s="1">
        <f t="shared" ref="L40:L49" si="26">+D40-H40</f>
        <v>-48.250000000000028</v>
      </c>
      <c r="M40" s="1"/>
      <c r="N40" s="5">
        <f t="shared" ref="N40:N49" si="27">IF(H40=0,0,L40/H40)</f>
        <v>-0.18295919915061437</v>
      </c>
      <c r="O40" s="14"/>
      <c r="P40" s="1">
        <f>SUM(OSRRefP22_5x_0)</f>
        <v>215.47</v>
      </c>
      <c r="Q40" s="1"/>
      <c r="R40" s="5">
        <f t="shared" ref="R40:R49" si="28">IF(P$12=0,0,P40/P$12)</f>
        <v>0</v>
      </c>
      <c r="S40" s="1"/>
      <c r="T40" s="1">
        <f>SUM(OSRRefT22_5x_0)</f>
        <v>263.72000000000003</v>
      </c>
      <c r="U40" s="1"/>
      <c r="V40" s="5">
        <f t="shared" ref="V40:V49" si="29">IF(T$12=0,0,T40/T$12)</f>
        <v>0</v>
      </c>
      <c r="W40" s="1"/>
      <c r="X40" s="1">
        <f t="shared" ref="X40:X49" si="30">+P40-T40</f>
        <v>-48.250000000000028</v>
      </c>
      <c r="Y40" s="1"/>
      <c r="Z40" s="5">
        <f t="shared" ref="Z40:Z49" si="31">IF(T40=0,0,X40/T40)</f>
        <v>-0.18295919915061437</v>
      </c>
    </row>
    <row r="41" spans="1:26" s="24" customFormat="1" hidden="1" outlineLevel="2" x14ac:dyDescent="0.3">
      <c r="A41" s="27"/>
      <c r="B41" s="12" t="str">
        <f>CONCATENATE("          ", "6351", " - ", "EQUIPMENT RENTAL")</f>
        <v xml:space="preserve">          6351 - EQUIPMENT RENTAL</v>
      </c>
      <c r="C41" s="12"/>
      <c r="D41" s="8">
        <v>215.47</v>
      </c>
      <c r="E41" s="3"/>
      <c r="F41" s="7">
        <f t="shared" si="24"/>
        <v>0</v>
      </c>
      <c r="G41" s="3"/>
      <c r="H41" s="8">
        <v>263.72000000000003</v>
      </c>
      <c r="I41" s="3"/>
      <c r="J41" s="7">
        <f t="shared" si="25"/>
        <v>0</v>
      </c>
      <c r="K41" s="3"/>
      <c r="L41" s="8">
        <f t="shared" si="26"/>
        <v>-48.250000000000028</v>
      </c>
      <c r="M41" s="3"/>
      <c r="N41" s="7">
        <f t="shared" si="27"/>
        <v>-0.18295919915061437</v>
      </c>
      <c r="O41" s="12"/>
      <c r="P41" s="8">
        <v>215.47</v>
      </c>
      <c r="Q41" s="3"/>
      <c r="R41" s="7">
        <f t="shared" si="28"/>
        <v>0</v>
      </c>
      <c r="S41" s="3"/>
      <c r="T41" s="8">
        <v>263.72000000000003</v>
      </c>
      <c r="U41" s="3"/>
      <c r="V41" s="7">
        <f t="shared" si="29"/>
        <v>0</v>
      </c>
      <c r="W41" s="3"/>
      <c r="X41" s="8">
        <f t="shared" si="30"/>
        <v>-48.250000000000028</v>
      </c>
      <c r="Y41" s="3"/>
      <c r="Z41" s="7">
        <f t="shared" si="31"/>
        <v>-0.18295919915061437</v>
      </c>
    </row>
    <row r="42" spans="1:26" s="29" customFormat="1" outlineLevel="1" collapsed="1" x14ac:dyDescent="0.3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1284.55</v>
      </c>
      <c r="I42" s="1"/>
      <c r="J42" s="5">
        <f t="shared" si="25"/>
        <v>0</v>
      </c>
      <c r="K42" s="1"/>
      <c r="L42" s="1">
        <f t="shared" si="26"/>
        <v>-1284.55</v>
      </c>
      <c r="M42" s="1"/>
      <c r="N42" s="5">
        <f t="shared" si="27"/>
        <v>-1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1284.55</v>
      </c>
      <c r="U42" s="1"/>
      <c r="V42" s="5">
        <f t="shared" si="29"/>
        <v>0</v>
      </c>
      <c r="W42" s="1"/>
      <c r="X42" s="1">
        <f t="shared" si="30"/>
        <v>-1284.55</v>
      </c>
      <c r="Y42" s="1"/>
      <c r="Z42" s="5">
        <f t="shared" si="31"/>
        <v>-1</v>
      </c>
    </row>
    <row r="43" spans="1:26" s="24" customFormat="1" hidden="1" outlineLevel="2" x14ac:dyDescent="0.3">
      <c r="A43" s="27"/>
      <c r="B43" s="12" t="str">
        <f>CONCATENATE("          ", "6279", " - ", "GENERAL EXPENSE")</f>
        <v xml:space="preserve">          6279 - GENERAL EXPENSE</v>
      </c>
      <c r="C43" s="12"/>
      <c r="D43" s="8"/>
      <c r="E43" s="3"/>
      <c r="F43" s="7">
        <f t="shared" si="24"/>
        <v>0</v>
      </c>
      <c r="G43" s="3"/>
      <c r="H43" s="8">
        <v>1284.55</v>
      </c>
      <c r="I43" s="3"/>
      <c r="J43" s="7">
        <f t="shared" si="25"/>
        <v>0</v>
      </c>
      <c r="K43" s="3"/>
      <c r="L43" s="8">
        <f t="shared" si="26"/>
        <v>-1284.55</v>
      </c>
      <c r="M43" s="3"/>
      <c r="N43" s="7">
        <f t="shared" si="27"/>
        <v>-1</v>
      </c>
      <c r="O43" s="12"/>
      <c r="P43" s="8"/>
      <c r="Q43" s="3"/>
      <c r="R43" s="7">
        <f t="shared" si="28"/>
        <v>0</v>
      </c>
      <c r="S43" s="3"/>
      <c r="T43" s="8">
        <v>1284.55</v>
      </c>
      <c r="U43" s="3"/>
      <c r="V43" s="7">
        <f t="shared" si="29"/>
        <v>0</v>
      </c>
      <c r="W43" s="3"/>
      <c r="X43" s="8">
        <f t="shared" si="30"/>
        <v>-1284.55</v>
      </c>
      <c r="Y43" s="3"/>
      <c r="Z43" s="7">
        <f t="shared" si="31"/>
        <v>-1</v>
      </c>
    </row>
    <row r="44" spans="1:26" s="29" customFormat="1" outlineLevel="1" collapsed="1" x14ac:dyDescent="0.3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SUM(OSRRefD22_7x_0)</f>
        <v>951.47</v>
      </c>
      <c r="E44" s="1"/>
      <c r="F44" s="5">
        <f t="shared" si="24"/>
        <v>0</v>
      </c>
      <c r="G44" s="1"/>
      <c r="H44" s="1">
        <f>SUM(OSRRefH22_7x_0)</f>
        <v>0</v>
      </c>
      <c r="I44" s="1"/>
      <c r="J44" s="5">
        <f t="shared" si="25"/>
        <v>0</v>
      </c>
      <c r="K44" s="1"/>
      <c r="L44" s="1">
        <f t="shared" si="26"/>
        <v>951.47</v>
      </c>
      <c r="M44" s="1"/>
      <c r="N44" s="5">
        <f t="shared" si="27"/>
        <v>0</v>
      </c>
      <c r="O44" s="14"/>
      <c r="P44" s="1">
        <f>SUM(OSRRefP22_7x_0)</f>
        <v>951.47</v>
      </c>
      <c r="Q44" s="1"/>
      <c r="R44" s="5">
        <f t="shared" si="28"/>
        <v>0</v>
      </c>
      <c r="S44" s="1"/>
      <c r="T44" s="1">
        <f>SUM(OSRRefT22_7x_0)</f>
        <v>0</v>
      </c>
      <c r="U44" s="1"/>
      <c r="V44" s="5">
        <f t="shared" si="29"/>
        <v>0</v>
      </c>
      <c r="W44" s="1"/>
      <c r="X44" s="1">
        <f t="shared" si="30"/>
        <v>951.47</v>
      </c>
      <c r="Y44" s="1"/>
      <c r="Z44" s="5">
        <f t="shared" si="31"/>
        <v>0</v>
      </c>
    </row>
    <row r="45" spans="1:26" s="24" customFormat="1" hidden="1" outlineLevel="2" x14ac:dyDescent="0.3">
      <c r="A45" s="27"/>
      <c r="B45" s="12" t="str">
        <f>CONCATENATE("          ", "6375", " - ", "OUTSIDE REPAIRS &amp; MAINTENANCE")</f>
        <v xml:space="preserve">          6375 - OUTSIDE REPAIRS &amp; MAINTENANCE</v>
      </c>
      <c r="C45" s="12"/>
      <c r="D45" s="8">
        <v>951.47</v>
      </c>
      <c r="E45" s="3"/>
      <c r="F45" s="7">
        <f t="shared" si="24"/>
        <v>0</v>
      </c>
      <c r="G45" s="3"/>
      <c r="H45" s="8"/>
      <c r="I45" s="3"/>
      <c r="J45" s="7">
        <f t="shared" si="25"/>
        <v>0</v>
      </c>
      <c r="K45" s="3"/>
      <c r="L45" s="8">
        <f t="shared" si="26"/>
        <v>951.47</v>
      </c>
      <c r="M45" s="3"/>
      <c r="N45" s="7">
        <f t="shared" si="27"/>
        <v>0</v>
      </c>
      <c r="O45" s="12"/>
      <c r="P45" s="8">
        <v>951.47</v>
      </c>
      <c r="Q45" s="3"/>
      <c r="R45" s="7">
        <f t="shared" si="28"/>
        <v>0</v>
      </c>
      <c r="S45" s="3"/>
      <c r="T45" s="8"/>
      <c r="U45" s="3"/>
      <c r="V45" s="7">
        <f t="shared" si="29"/>
        <v>0</v>
      </c>
      <c r="W45" s="3"/>
      <c r="X45" s="8">
        <f t="shared" si="30"/>
        <v>951.47</v>
      </c>
      <c r="Y45" s="3"/>
      <c r="Z45" s="7">
        <f t="shared" si="31"/>
        <v>0</v>
      </c>
    </row>
    <row r="46" spans="1:26" s="29" customFormat="1" outlineLevel="1" collapsed="1" x14ac:dyDescent="0.3">
      <c r="A46" s="28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SUM(OSRRefD22_8x_0)</f>
        <v>77.16</v>
      </c>
      <c r="E46" s="1"/>
      <c r="F46" s="5">
        <f t="shared" si="24"/>
        <v>0</v>
      </c>
      <c r="G46" s="1"/>
      <c r="H46" s="1">
        <f>SUM(OSRRefH22_8x_0)</f>
        <v>0</v>
      </c>
      <c r="I46" s="1"/>
      <c r="J46" s="5">
        <f t="shared" si="25"/>
        <v>0</v>
      </c>
      <c r="K46" s="1"/>
      <c r="L46" s="1">
        <f t="shared" si="26"/>
        <v>77.16</v>
      </c>
      <c r="M46" s="1"/>
      <c r="N46" s="5">
        <f t="shared" si="27"/>
        <v>0</v>
      </c>
      <c r="O46" s="14"/>
      <c r="P46" s="1">
        <f>SUM(OSRRefP22_8x_0)</f>
        <v>77.16</v>
      </c>
      <c r="Q46" s="1"/>
      <c r="R46" s="5">
        <f t="shared" si="28"/>
        <v>0</v>
      </c>
      <c r="S46" s="1"/>
      <c r="T46" s="1">
        <f>SUM(OSRRefT22_8x_0)</f>
        <v>0</v>
      </c>
      <c r="U46" s="1"/>
      <c r="V46" s="5">
        <f t="shared" si="29"/>
        <v>0</v>
      </c>
      <c r="W46" s="1"/>
      <c r="X46" s="1">
        <f t="shared" si="30"/>
        <v>77.16</v>
      </c>
      <c r="Y46" s="1"/>
      <c r="Z46" s="5">
        <f t="shared" si="31"/>
        <v>0</v>
      </c>
    </row>
    <row r="47" spans="1:26" s="24" customFormat="1" hidden="1" outlineLevel="2" x14ac:dyDescent="0.3">
      <c r="A47" s="27"/>
      <c r="B47" s="12" t="str">
        <f>CONCATENATE("          ", "6241", " - ", "OFFICE EXPENSE")</f>
        <v xml:space="preserve">          6241 - OFFICE EXPENSE</v>
      </c>
      <c r="C47" s="12"/>
      <c r="D47" s="8">
        <v>77.16</v>
      </c>
      <c r="E47" s="3"/>
      <c r="F47" s="7">
        <f t="shared" si="24"/>
        <v>0</v>
      </c>
      <c r="G47" s="3"/>
      <c r="H47" s="8"/>
      <c r="I47" s="3"/>
      <c r="J47" s="7">
        <f t="shared" si="25"/>
        <v>0</v>
      </c>
      <c r="K47" s="3"/>
      <c r="L47" s="8">
        <f t="shared" si="26"/>
        <v>77.16</v>
      </c>
      <c r="M47" s="3"/>
      <c r="N47" s="7">
        <f t="shared" si="27"/>
        <v>0</v>
      </c>
      <c r="O47" s="12"/>
      <c r="P47" s="8">
        <v>77.16</v>
      </c>
      <c r="Q47" s="3"/>
      <c r="R47" s="7">
        <f t="shared" si="28"/>
        <v>0</v>
      </c>
      <c r="S47" s="3"/>
      <c r="T47" s="8"/>
      <c r="U47" s="3"/>
      <c r="V47" s="7">
        <f t="shared" si="29"/>
        <v>0</v>
      </c>
      <c r="W47" s="3"/>
      <c r="X47" s="8">
        <f t="shared" si="30"/>
        <v>77.16</v>
      </c>
      <c r="Y47" s="3"/>
      <c r="Z47" s="7">
        <f t="shared" si="31"/>
        <v>0</v>
      </c>
    </row>
    <row r="48" spans="1:26" s="29" customFormat="1" outlineLevel="1" collapsed="1" x14ac:dyDescent="0.3">
      <c r="A48" s="28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SUM(OSRRefD22_9x_0)</f>
        <v>75</v>
      </c>
      <c r="E48" s="1"/>
      <c r="F48" s="5">
        <f t="shared" si="24"/>
        <v>0</v>
      </c>
      <c r="G48" s="1"/>
      <c r="H48" s="1">
        <f>SUM(OSRRefH22_9x_0)</f>
        <v>106</v>
      </c>
      <c r="I48" s="1"/>
      <c r="J48" s="5">
        <f t="shared" si="25"/>
        <v>0</v>
      </c>
      <c r="K48" s="1"/>
      <c r="L48" s="1">
        <f t="shared" si="26"/>
        <v>-31</v>
      </c>
      <c r="M48" s="1"/>
      <c r="N48" s="5">
        <f t="shared" si="27"/>
        <v>-0.29245283018867924</v>
      </c>
      <c r="O48" s="14"/>
      <c r="P48" s="1">
        <f>SUM(OSRRefP22_9x_0)</f>
        <v>75</v>
      </c>
      <c r="Q48" s="1"/>
      <c r="R48" s="5">
        <f t="shared" si="28"/>
        <v>0</v>
      </c>
      <c r="S48" s="1"/>
      <c r="T48" s="1">
        <f>SUM(OSRRefT22_9x_0)</f>
        <v>106</v>
      </c>
      <c r="U48" s="1"/>
      <c r="V48" s="5">
        <f t="shared" si="29"/>
        <v>0</v>
      </c>
      <c r="W48" s="1"/>
      <c r="X48" s="1">
        <f t="shared" si="30"/>
        <v>-31</v>
      </c>
      <c r="Y48" s="1"/>
      <c r="Z48" s="5">
        <f t="shared" si="31"/>
        <v>-0.29245283018867924</v>
      </c>
    </row>
    <row r="49" spans="1:26" s="24" customFormat="1" hidden="1" outlineLevel="2" x14ac:dyDescent="0.3">
      <c r="A49" s="27"/>
      <c r="B49" s="12" t="str">
        <f>CONCATENATE("          ", "6309", " - ", "TELEPHONE")</f>
        <v xml:space="preserve">          6309 - TELEPHONE</v>
      </c>
      <c r="C49" s="12"/>
      <c r="D49" s="8">
        <v>75</v>
      </c>
      <c r="E49" s="3"/>
      <c r="F49" s="7">
        <f t="shared" si="24"/>
        <v>0</v>
      </c>
      <c r="G49" s="3"/>
      <c r="H49" s="8">
        <v>106</v>
      </c>
      <c r="I49" s="3"/>
      <c r="J49" s="7">
        <f t="shared" si="25"/>
        <v>0</v>
      </c>
      <c r="K49" s="3"/>
      <c r="L49" s="8">
        <f t="shared" si="26"/>
        <v>-31</v>
      </c>
      <c r="M49" s="3"/>
      <c r="N49" s="7">
        <f t="shared" si="27"/>
        <v>-0.29245283018867924</v>
      </c>
      <c r="O49" s="12"/>
      <c r="P49" s="8">
        <v>75</v>
      </c>
      <c r="Q49" s="3"/>
      <c r="R49" s="7">
        <f t="shared" si="28"/>
        <v>0</v>
      </c>
      <c r="S49" s="3"/>
      <c r="T49" s="8">
        <v>106</v>
      </c>
      <c r="U49" s="3"/>
      <c r="V49" s="7">
        <f t="shared" si="29"/>
        <v>0</v>
      </c>
      <c r="W49" s="3"/>
      <c r="X49" s="8">
        <f t="shared" si="30"/>
        <v>-31</v>
      </c>
      <c r="Y49" s="3"/>
      <c r="Z49" s="7">
        <f t="shared" si="31"/>
        <v>-0.29245283018867924</v>
      </c>
    </row>
    <row r="50" spans="1:26" s="53" customFormat="1" x14ac:dyDescent="0.3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5" t="s">
        <v>292</v>
      </c>
      <c r="C51" s="10"/>
      <c r="D51" s="4">
        <f>SUM(0)</f>
        <v>0</v>
      </c>
      <c r="E51" s="4"/>
      <c r="F51" s="11">
        <f>IF(D$12=0,0,D51/D$12)</f>
        <v>0</v>
      </c>
      <c r="G51" s="4"/>
      <c r="H51" s="4">
        <f>SUM(0)</f>
        <v>0</v>
      </c>
      <c r="I51" s="4"/>
      <c r="J51" s="11">
        <f>IF(H$12=0,0,H51/H$12)</f>
        <v>0</v>
      </c>
      <c r="K51" s="4"/>
      <c r="L51" s="4">
        <f>+D51-H51</f>
        <v>0</v>
      </c>
      <c r="M51" s="4"/>
      <c r="N51" s="11">
        <f>IF(H51=0,0,L51/H51)</f>
        <v>0</v>
      </c>
      <c r="O51" s="10"/>
      <c r="P51" s="4">
        <f>SUM(0)</f>
        <v>0</v>
      </c>
      <c r="Q51" s="4"/>
      <c r="R51" s="11">
        <f>IF(P$12=0,0,P51/P$12)</f>
        <v>0</v>
      </c>
      <c r="S51" s="4"/>
      <c r="T51" s="4">
        <f>SUM(0)</f>
        <v>0</v>
      </c>
      <c r="U51" s="4"/>
      <c r="V51" s="11">
        <f>IF(T$12=0,0,T51/T$12)</f>
        <v>0</v>
      </c>
      <c r="W51" s="4"/>
      <c r="X51" s="4">
        <f>+P51-T51</f>
        <v>0</v>
      </c>
      <c r="Y51" s="4"/>
      <c r="Z51" s="11">
        <f>IF(T51=0,0,X51/T51)</f>
        <v>0</v>
      </c>
    </row>
    <row r="52" spans="1:26" x14ac:dyDescent="0.3">
      <c r="A52" s="9"/>
      <c r="B52" s="10"/>
      <c r="C52" s="10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O52" s="10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3">
      <c r="A53" s="10"/>
      <c r="B53" s="26" t="s">
        <v>276</v>
      </c>
      <c r="C53" s="26"/>
      <c r="D53" s="20">
        <f>+D16-D18+D51</f>
        <v>-21761.300000000003</v>
      </c>
      <c r="E53" s="13"/>
      <c r="F53" s="21">
        <f>IF(D$12=0,0,D53/D$12)</f>
        <v>0</v>
      </c>
      <c r="G53" s="13"/>
      <c r="H53" s="20">
        <f>+H16-H18+H51</f>
        <v>-17067.47</v>
      </c>
      <c r="I53" s="13"/>
      <c r="J53" s="21">
        <f>IF(H$12=0,0,H53/H$12)</f>
        <v>0</v>
      </c>
      <c r="K53" s="16"/>
      <c r="L53" s="20">
        <f>+D53-H53</f>
        <v>-4693.8300000000017</v>
      </c>
      <c r="M53" s="16"/>
      <c r="N53" s="21">
        <f>IF(H53=0,0,L53/H53)</f>
        <v>0.27501615646607269</v>
      </c>
      <c r="O53" s="25"/>
      <c r="P53" s="20">
        <f>+P16-P18+P51</f>
        <v>-21761.300000000003</v>
      </c>
      <c r="Q53" s="13"/>
      <c r="R53" s="21">
        <f>IF(P$12=0,0,P53/P$12)</f>
        <v>0</v>
      </c>
      <c r="S53" s="13"/>
      <c r="T53" s="20">
        <f>+T16-T18+T51</f>
        <v>-17067.47</v>
      </c>
      <c r="U53" s="13"/>
      <c r="V53" s="21">
        <f>IF(T$12=0,0,T53/T$12)</f>
        <v>0</v>
      </c>
      <c r="W53" s="16"/>
      <c r="X53" s="20">
        <f>+P53-T53</f>
        <v>-4693.8300000000017</v>
      </c>
      <c r="Y53" s="16"/>
      <c r="Z53" s="21">
        <f>IF(T53=0,0,X53/T53)</f>
        <v>0.27501615646607269</v>
      </c>
    </row>
    <row r="54" spans="1:26" x14ac:dyDescent="0.3">
      <c r="A54" s="9"/>
      <c r="B54" s="10"/>
      <c r="C54" s="9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x14ac:dyDescent="0.3">
      <c r="A55" s="51"/>
      <c r="B55" s="10" t="s">
        <v>127</v>
      </c>
      <c r="C55" s="10"/>
      <c r="D55" s="4"/>
      <c r="E55" s="4"/>
      <c r="F55" s="11">
        <f>IF(D$12=0,0,D55/D$12)</f>
        <v>0</v>
      </c>
      <c r="G55" s="4"/>
      <c r="H55" s="4"/>
      <c r="I55" s="4"/>
      <c r="J55" s="11">
        <f>IF(H$12=0,0,H55/H$12)</f>
        <v>0</v>
      </c>
      <c r="K55" s="4"/>
      <c r="L55" s="4">
        <f>+D55-H55</f>
        <v>0</v>
      </c>
      <c r="M55" s="4"/>
      <c r="N55" s="11">
        <f>IF(H55=0,0,L55/H55)</f>
        <v>0</v>
      </c>
      <c r="O55" s="10"/>
      <c r="P55" s="4"/>
      <c r="Q55" s="4"/>
      <c r="R55" s="11">
        <f>IF(P$12=0,0,P55/P$12)</f>
        <v>0</v>
      </c>
      <c r="S55" s="4"/>
      <c r="T55" s="4"/>
      <c r="U55" s="4"/>
      <c r="V55" s="11">
        <f>IF(T$12=0,0,T55/T$12)</f>
        <v>0</v>
      </c>
      <c r="W55" s="4"/>
      <c r="X55" s="4">
        <f>+P55-T55</f>
        <v>0</v>
      </c>
      <c r="Y55" s="4"/>
      <c r="Z55" s="11">
        <f>IF(T55=0,0,X55/T55)</f>
        <v>0</v>
      </c>
    </row>
    <row r="56" spans="1:26" x14ac:dyDescent="0.3">
      <c r="A56" s="9"/>
      <c r="B56" s="10"/>
      <c r="C56" s="10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10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" thickBot="1" x14ac:dyDescent="0.35">
      <c r="A57" s="10"/>
      <c r="B57" s="26" t="s">
        <v>125</v>
      </c>
      <c r="C57" s="26"/>
      <c r="D57" s="36">
        <f>+D53-D55</f>
        <v>-21761.300000000003</v>
      </c>
      <c r="E57" s="13"/>
      <c r="F57" s="34">
        <f>IF(D$12=0,0,D57/D$12)</f>
        <v>0</v>
      </c>
      <c r="G57" s="13"/>
      <c r="H57" s="36">
        <f>+H53-H55</f>
        <v>-17067.47</v>
      </c>
      <c r="I57" s="13"/>
      <c r="J57" s="34">
        <f>IF(H$12=0,0,H57/H$12)</f>
        <v>0</v>
      </c>
      <c r="K57" s="16"/>
      <c r="L57" s="36">
        <f>D57-H57</f>
        <v>-4693.8300000000017</v>
      </c>
      <c r="M57" s="16"/>
      <c r="N57" s="34">
        <f>IF(H57=0,0,L57/H57)</f>
        <v>0.27501615646607269</v>
      </c>
      <c r="O57" s="25"/>
      <c r="P57" s="36">
        <f>+P53-P55</f>
        <v>-21761.300000000003</v>
      </c>
      <c r="Q57" s="13"/>
      <c r="R57" s="34">
        <f>IF(P$12=0,0,P57/P$12)</f>
        <v>0</v>
      </c>
      <c r="S57" s="13"/>
      <c r="T57" s="36">
        <f>+T53-T55</f>
        <v>-17067.47</v>
      </c>
      <c r="U57" s="13"/>
      <c r="V57" s="34">
        <f>IF(T$12=0,0,T57/T$12)</f>
        <v>0</v>
      </c>
      <c r="W57" s="16"/>
      <c r="X57" s="36">
        <f>P57-T57</f>
        <v>-4693.8300000000017</v>
      </c>
      <c r="Y57" s="16"/>
      <c r="Z57" s="34">
        <f>IF(T57=0,0,X57/T57)</f>
        <v>0.27501615646607269</v>
      </c>
    </row>
    <row r="58" spans="1:26" ht="15" thickTop="1" x14ac:dyDescent="0.3">
      <c r="A58" s="9"/>
      <c r="B58" s="9"/>
      <c r="C58" s="9"/>
      <c r="D58" s="2"/>
      <c r="E58" s="2"/>
      <c r="F58" s="6"/>
      <c r="G58" s="2"/>
      <c r="H58" s="2"/>
      <c r="I58" s="2"/>
      <c r="J58" s="6"/>
      <c r="K58" s="2"/>
      <c r="L58" s="2"/>
      <c r="M58" s="2"/>
      <c r="N58" s="6"/>
      <c r="P58" s="2"/>
      <c r="Q58" s="2"/>
      <c r="R58" s="6"/>
      <c r="S58" s="2"/>
      <c r="T58" s="2"/>
      <c r="U58" s="2"/>
      <c r="V58" s="6"/>
      <c r="W58" s="2"/>
      <c r="X58" s="2"/>
      <c r="Y58" s="2"/>
      <c r="Z58" s="6"/>
    </row>
    <row r="59" spans="1:26" x14ac:dyDescent="0.3">
      <c r="A59" s="9"/>
      <c r="B59" s="9"/>
      <c r="C59" s="9"/>
      <c r="D59" s="2"/>
      <c r="E59" s="2"/>
      <c r="F59" s="6"/>
      <c r="G59" s="2"/>
      <c r="H59" s="2"/>
      <c r="I59" s="2"/>
      <c r="J59" s="6"/>
      <c r="K59" s="2"/>
      <c r="L59" s="2"/>
      <c r="M59" s="2"/>
      <c r="N59" s="6"/>
      <c r="P59" s="2"/>
      <c r="Q59" s="2"/>
      <c r="R59" s="6"/>
      <c r="S59" s="2"/>
      <c r="T59" s="2"/>
      <c r="U59" s="2"/>
      <c r="V59" s="6"/>
      <c r="W59" s="2"/>
      <c r="X59" s="2"/>
      <c r="Y59" s="2"/>
      <c r="Z59" s="6"/>
    </row>
    <row r="60" spans="1:26" s="23" customFormat="1" ht="15" thickBot="1" x14ac:dyDescent="0.35">
      <c r="A60" s="10"/>
      <c r="B60" s="26" t="s">
        <v>293</v>
      </c>
      <c r="C60" s="26"/>
      <c r="D60" s="31">
        <f>SUM(D57:D59)</f>
        <v>-21761.300000000003</v>
      </c>
      <c r="E60" s="13"/>
      <c r="F60" s="33">
        <f>IF(D$12=0,0,D60/D$12)</f>
        <v>0</v>
      </c>
      <c r="G60" s="13"/>
      <c r="H60" s="31">
        <f>SUM(H57:H59)</f>
        <v>-17067.47</v>
      </c>
      <c r="I60" s="13"/>
      <c r="J60" s="33">
        <f>IF(H$12=0,0,H60/H$12)</f>
        <v>0</v>
      </c>
      <c r="K60" s="16"/>
      <c r="L60" s="31">
        <f>+D60-H60</f>
        <v>-4693.8300000000017</v>
      </c>
      <c r="M60" s="16"/>
      <c r="N60" s="33">
        <f>IF(H60=0,0,L60/H60)</f>
        <v>0.27501615646607269</v>
      </c>
      <c r="O60" s="25"/>
      <c r="P60" s="31">
        <f>SUM(P57:P59)</f>
        <v>-21761.300000000003</v>
      </c>
      <c r="Q60" s="13"/>
      <c r="R60" s="33">
        <f>IF(P$12=0,0,P60/P$12)</f>
        <v>0</v>
      </c>
      <c r="S60" s="13"/>
      <c r="T60" s="31">
        <f>SUM(T57:T59)</f>
        <v>-17067.47</v>
      </c>
      <c r="U60" s="13"/>
      <c r="V60" s="33">
        <f>IF(T$12=0,0,T60/T$12)</f>
        <v>0</v>
      </c>
      <c r="W60" s="16"/>
      <c r="X60" s="31">
        <f>+P60-T60</f>
        <v>-4693.8300000000017</v>
      </c>
      <c r="Y60" s="16"/>
      <c r="Z60" s="33">
        <f>IF(T60=0,0,X60/T60)</f>
        <v>0.27501615646607269</v>
      </c>
    </row>
    <row r="61" spans="1:26" ht="15" thickTop="1" x14ac:dyDescent="0.3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59">
        <v>44462.666945868055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A63" s="9"/>
      <c r="B63" s="57" t="s">
        <v>56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3">
      <c r="A64" s="9"/>
      <c r="B64" s="61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3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","423", " - ", "Contract/Vending Revenue")</f>
        <v>Department 423 - Contract/Vending Revenue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81.13</v>
      </c>
      <c r="E18" s="19"/>
      <c r="F18" s="35">
        <f t="shared" ref="F18:F21" si="0">IF(D$12=0,0,D18/D$12)</f>
        <v>0</v>
      </c>
      <c r="G18" s="19"/>
      <c r="H18" s="19">
        <f>SUM(OSRRefH22x_0)</f>
        <v>2458.4299999999998</v>
      </c>
      <c r="I18" s="19"/>
      <c r="J18" s="35">
        <f t="shared" ref="J18:J21" si="1">IF(H$12=0,0,H18/H$12)</f>
        <v>0</v>
      </c>
      <c r="K18" s="4"/>
      <c r="L18" s="19">
        <f t="shared" ref="L18:L21" si="2">+D18-H18</f>
        <v>-2377.2999999999997</v>
      </c>
      <c r="M18" s="4"/>
      <c r="N18" s="35">
        <f t="shared" ref="N18:N21" si="3">IF(H18=0,0,L18/H18)</f>
        <v>-0.96699926375776402</v>
      </c>
      <c r="O18" s="10"/>
      <c r="P18" s="19">
        <f>SUM(OSRRefP22x_0)</f>
        <v>81.13</v>
      </c>
      <c r="Q18" s="19"/>
      <c r="R18" s="35">
        <f t="shared" ref="R18:R21" si="4">IF(P$12=0,0,P18/P$12)</f>
        <v>0</v>
      </c>
      <c r="S18" s="19"/>
      <c r="T18" s="19">
        <f>SUM(OSRRefT22x_0)</f>
        <v>2458.4299999999998</v>
      </c>
      <c r="U18" s="19"/>
      <c r="V18" s="35">
        <f t="shared" ref="V18:V21" si="5">IF(T$12=0,0,T18/T$12)</f>
        <v>0</v>
      </c>
      <c r="W18" s="4"/>
      <c r="X18" s="19">
        <f t="shared" ref="X18:X21" si="6">+P18-T18</f>
        <v>-2377.2999999999997</v>
      </c>
      <c r="Y18" s="4"/>
      <c r="Z18" s="35">
        <f t="shared" ref="Z18:Z21" si="7">IF(T18=0,0,X18/T18)</f>
        <v>-0.96699926375776402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2478.73</v>
      </c>
      <c r="I19" s="1"/>
      <c r="J19" s="5">
        <f t="shared" si="1"/>
        <v>0</v>
      </c>
      <c r="K19" s="1"/>
      <c r="L19" s="1">
        <f t="shared" si="2"/>
        <v>-2478.73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2" t="str">
        <f>CONCATENATE("          ", "6113", " - ", "GROUP INSURANCE")</f>
        <v xml:space="preserve">          6113 - GROUP INSURANCE</v>
      </c>
      <c r="C20" s="12"/>
      <c r="D20" s="8"/>
      <c r="E20" s="3"/>
      <c r="F20" s="7">
        <f t="shared" si="0"/>
        <v>0</v>
      </c>
      <c r="G20" s="3"/>
      <c r="H20" s="8">
        <v>1868.2</v>
      </c>
      <c r="I20" s="3"/>
      <c r="J20" s="7">
        <f t="shared" si="1"/>
        <v>0</v>
      </c>
      <c r="K20" s="3"/>
      <c r="L20" s="8">
        <f t="shared" si="2"/>
        <v>-1868.2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1868.2</v>
      </c>
      <c r="U20" s="3"/>
      <c r="V20" s="7">
        <f t="shared" si="5"/>
        <v>0</v>
      </c>
      <c r="W20" s="3"/>
      <c r="X20" s="8">
        <f t="shared" si="6"/>
        <v>-1868.2</v>
      </c>
      <c r="Y20" s="3"/>
      <c r="Z20" s="7">
        <f t="shared" si="7"/>
        <v>-1</v>
      </c>
    </row>
    <row r="21" spans="1:26" s="24" customFormat="1" hidden="1" outlineLevel="2" x14ac:dyDescent="0.3">
      <c r="A21" s="27"/>
      <c r="B21" s="12" t="str">
        <f>CONCATENATE("          ", "6115", " - ", "P.E.R.S.")</f>
        <v xml:space="preserve">          6115 - P.E.R.S.</v>
      </c>
      <c r="C21" s="12"/>
      <c r="D21" s="8"/>
      <c r="E21" s="3"/>
      <c r="F21" s="7">
        <f t="shared" si="0"/>
        <v>0</v>
      </c>
      <c r="G21" s="3"/>
      <c r="H21" s="8">
        <v>610.53</v>
      </c>
      <c r="I21" s="3"/>
      <c r="J21" s="7">
        <f t="shared" si="1"/>
        <v>0</v>
      </c>
      <c r="K21" s="3"/>
      <c r="L21" s="8">
        <f t="shared" si="2"/>
        <v>-610.53</v>
      </c>
      <c r="M21" s="3"/>
      <c r="N21" s="7">
        <f t="shared" si="3"/>
        <v>-1</v>
      </c>
      <c r="O21" s="12"/>
      <c r="P21" s="8"/>
      <c r="Q21" s="3"/>
      <c r="R21" s="7">
        <f t="shared" si="4"/>
        <v>0</v>
      </c>
      <c r="S21" s="3"/>
      <c r="T21" s="8">
        <v>610.53</v>
      </c>
      <c r="U21" s="3"/>
      <c r="V21" s="7">
        <f t="shared" si="5"/>
        <v>0</v>
      </c>
      <c r="W21" s="3"/>
      <c r="X21" s="8">
        <f t="shared" si="6"/>
        <v>-610.53</v>
      </c>
      <c r="Y21" s="3"/>
      <c r="Z21" s="7">
        <f t="shared" si="7"/>
        <v>-1</v>
      </c>
    </row>
    <row r="22" spans="1:26" s="29" customFormat="1" outlineLevel="1" collapsed="1" x14ac:dyDescent="0.3">
      <c r="A22" s="28"/>
      <c r="B22" s="14" t="str">
        <f>CONCATENATE("     ","Supplies                                          ")</f>
        <v xml:space="preserve">     Supplies                                          </v>
      </c>
      <c r="C22" s="14"/>
      <c r="D22" s="1">
        <f>SUM(OSRRefD22_1x_0)</f>
        <v>245.13</v>
      </c>
      <c r="E22" s="1"/>
      <c r="F22" s="5">
        <f t="shared" ref="F22:F25" si="8">IF(D$12=0,0,D22/D$12)</f>
        <v>0</v>
      </c>
      <c r="G22" s="1"/>
      <c r="H22" s="1">
        <f>SUM(OSRRefH22_1x_0)</f>
        <v>-56.3</v>
      </c>
      <c r="I22" s="1"/>
      <c r="J22" s="5">
        <f t="shared" ref="J22:J25" si="9">IF(H$12=0,0,H22/H$12)</f>
        <v>0</v>
      </c>
      <c r="K22" s="1"/>
      <c r="L22" s="1">
        <f t="shared" ref="L22:L25" si="10">+D22-H22</f>
        <v>301.43</v>
      </c>
      <c r="M22" s="1"/>
      <c r="N22" s="5">
        <f t="shared" ref="N22:N25" si="11">IF(H22=0,0,L22/H22)</f>
        <v>-5.3539964476021318</v>
      </c>
      <c r="O22" s="14"/>
      <c r="P22" s="1">
        <f>SUM(OSRRefP22_1x_0)</f>
        <v>245.13</v>
      </c>
      <c r="Q22" s="1"/>
      <c r="R22" s="5">
        <f t="shared" ref="R22:R25" si="12">IF(P$12=0,0,P22/P$12)</f>
        <v>0</v>
      </c>
      <c r="S22" s="1"/>
      <c r="T22" s="1">
        <f>SUM(OSRRefT22_1x_0)</f>
        <v>-56.3</v>
      </c>
      <c r="U22" s="1"/>
      <c r="V22" s="5">
        <f t="shared" ref="V22:V25" si="13">IF(T$12=0,0,T22/T$12)</f>
        <v>0</v>
      </c>
      <c r="W22" s="1"/>
      <c r="X22" s="1">
        <f t="shared" ref="X22:X25" si="14">+P22-T22</f>
        <v>301.43</v>
      </c>
      <c r="Y22" s="1"/>
      <c r="Z22" s="5">
        <f t="shared" ref="Z22:Z25" si="15">IF(T22=0,0,X22/T22)</f>
        <v>-5.3539964476021318</v>
      </c>
    </row>
    <row r="23" spans="1:26" s="24" customFormat="1" hidden="1" outlineLevel="2" x14ac:dyDescent="0.3">
      <c r="A23" s="27"/>
      <c r="B23" s="12" t="str">
        <f>CONCATENATE("          ", "6241", " - ", "OFFICE EXPENSE")</f>
        <v xml:space="preserve">          6241 - OFFICE EXPENSE</v>
      </c>
      <c r="C23" s="12"/>
      <c r="D23" s="8">
        <v>245.13</v>
      </c>
      <c r="E23" s="3"/>
      <c r="F23" s="7">
        <f t="shared" si="8"/>
        <v>0</v>
      </c>
      <c r="G23" s="3"/>
      <c r="H23" s="8">
        <v>-56.3</v>
      </c>
      <c r="I23" s="3"/>
      <c r="J23" s="7">
        <f t="shared" si="9"/>
        <v>0</v>
      </c>
      <c r="K23" s="3"/>
      <c r="L23" s="8">
        <f t="shared" si="10"/>
        <v>301.43</v>
      </c>
      <c r="M23" s="3"/>
      <c r="N23" s="7">
        <f t="shared" si="11"/>
        <v>-5.3539964476021318</v>
      </c>
      <c r="O23" s="12"/>
      <c r="P23" s="8">
        <v>245.13</v>
      </c>
      <c r="Q23" s="3"/>
      <c r="R23" s="7">
        <f t="shared" si="12"/>
        <v>0</v>
      </c>
      <c r="S23" s="3"/>
      <c r="T23" s="8">
        <v>-56.3</v>
      </c>
      <c r="U23" s="3"/>
      <c r="V23" s="7">
        <f t="shared" si="13"/>
        <v>0</v>
      </c>
      <c r="W23" s="3"/>
      <c r="X23" s="8">
        <f t="shared" si="14"/>
        <v>301.43</v>
      </c>
      <c r="Y23" s="3"/>
      <c r="Z23" s="7">
        <f t="shared" si="15"/>
        <v>-5.3539964476021318</v>
      </c>
    </row>
    <row r="24" spans="1:26" s="29" customFormat="1" outlineLevel="1" collapsed="1" x14ac:dyDescent="0.3">
      <c r="A24" s="28"/>
      <c r="B24" s="14" t="str">
        <f>CONCATENATE("     ","Telephone/Data Lines                              ")</f>
        <v xml:space="preserve">     Telephone/Data Lines                              </v>
      </c>
      <c r="C24" s="14"/>
      <c r="D24" s="1">
        <f>SUM(OSRRefD22_2x_0)</f>
        <v>-164</v>
      </c>
      <c r="E24" s="1"/>
      <c r="F24" s="5">
        <f t="shared" si="8"/>
        <v>0</v>
      </c>
      <c r="G24" s="1"/>
      <c r="H24" s="1">
        <f>SUM(OSRRefH22_2x_0)</f>
        <v>36</v>
      </c>
      <c r="I24" s="1"/>
      <c r="J24" s="5">
        <f t="shared" si="9"/>
        <v>0</v>
      </c>
      <c r="K24" s="1"/>
      <c r="L24" s="1">
        <f t="shared" si="10"/>
        <v>-200</v>
      </c>
      <c r="M24" s="1"/>
      <c r="N24" s="5">
        <f t="shared" si="11"/>
        <v>-5.5555555555555554</v>
      </c>
      <c r="O24" s="14"/>
      <c r="P24" s="1">
        <f>SUM(OSRRefP22_2x_0)</f>
        <v>-164</v>
      </c>
      <c r="Q24" s="1"/>
      <c r="R24" s="5">
        <f t="shared" si="12"/>
        <v>0</v>
      </c>
      <c r="S24" s="1"/>
      <c r="T24" s="1">
        <f>SUM(OSRRefT22_2x_0)</f>
        <v>36</v>
      </c>
      <c r="U24" s="1"/>
      <c r="V24" s="5">
        <f t="shared" si="13"/>
        <v>0</v>
      </c>
      <c r="W24" s="1"/>
      <c r="X24" s="1">
        <f t="shared" si="14"/>
        <v>-200</v>
      </c>
      <c r="Y24" s="1"/>
      <c r="Z24" s="5">
        <f t="shared" si="15"/>
        <v>-5.5555555555555554</v>
      </c>
    </row>
    <row r="25" spans="1:26" s="24" customFormat="1" hidden="1" outlineLevel="2" x14ac:dyDescent="0.3">
      <c r="A25" s="27"/>
      <c r="B25" s="12" t="str">
        <f>CONCATENATE("          ", "6309", " - ", "TELEPHONE")</f>
        <v xml:space="preserve">          6309 - TELEPHONE</v>
      </c>
      <c r="C25" s="12"/>
      <c r="D25" s="8">
        <v>-164</v>
      </c>
      <c r="E25" s="3"/>
      <c r="F25" s="7">
        <f t="shared" si="8"/>
        <v>0</v>
      </c>
      <c r="G25" s="3"/>
      <c r="H25" s="8">
        <v>36</v>
      </c>
      <c r="I25" s="3"/>
      <c r="J25" s="7">
        <f t="shared" si="9"/>
        <v>0</v>
      </c>
      <c r="K25" s="3"/>
      <c r="L25" s="8">
        <f t="shared" si="10"/>
        <v>-200</v>
      </c>
      <c r="M25" s="3"/>
      <c r="N25" s="7">
        <f t="shared" si="11"/>
        <v>-5.5555555555555554</v>
      </c>
      <c r="O25" s="12"/>
      <c r="P25" s="8">
        <v>-164</v>
      </c>
      <c r="Q25" s="3"/>
      <c r="R25" s="7">
        <f t="shared" si="12"/>
        <v>0</v>
      </c>
      <c r="S25" s="3"/>
      <c r="T25" s="8">
        <v>36</v>
      </c>
      <c r="U25" s="3"/>
      <c r="V25" s="7">
        <f t="shared" si="13"/>
        <v>0</v>
      </c>
      <c r="W25" s="3"/>
      <c r="X25" s="8">
        <f t="shared" si="14"/>
        <v>-200</v>
      </c>
      <c r="Y25" s="3"/>
      <c r="Z25" s="7">
        <f t="shared" si="15"/>
        <v>-5.5555555555555554</v>
      </c>
    </row>
    <row r="26" spans="1:26" s="53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292</v>
      </c>
      <c r="C27" s="10"/>
      <c r="D27" s="4">
        <f>SUM(0)</f>
        <v>0</v>
      </c>
      <c r="E27" s="4"/>
      <c r="F27" s="11">
        <f>IF(D$12=0,0,D27/D$12)</f>
        <v>0</v>
      </c>
      <c r="G27" s="4"/>
      <c r="H27" s="4">
        <f>SUM(0)</f>
        <v>0</v>
      </c>
      <c r="I27" s="4"/>
      <c r="J27" s="11">
        <f>IF(H$12=0,0,H27/H$12)</f>
        <v>0</v>
      </c>
      <c r="K27" s="4"/>
      <c r="L27" s="4">
        <f>+D27-H27</f>
        <v>0</v>
      </c>
      <c r="M27" s="4"/>
      <c r="N27" s="11">
        <f>IF(H27=0,0,L27/H27)</f>
        <v>0</v>
      </c>
      <c r="O27" s="10"/>
      <c r="P27" s="4">
        <f>SUM(0)</f>
        <v>0</v>
      </c>
      <c r="Q27" s="4"/>
      <c r="R27" s="11">
        <f>IF(P$12=0,0,P27/P$12)</f>
        <v>0</v>
      </c>
      <c r="S27" s="4"/>
      <c r="T27" s="4">
        <f>SUM(0)</f>
        <v>0</v>
      </c>
      <c r="U27" s="4"/>
      <c r="V27" s="11">
        <f>IF(T$12=0,0,T27/T$12)</f>
        <v>0</v>
      </c>
      <c r="W27" s="4"/>
      <c r="X27" s="4">
        <f>+P27-T27</f>
        <v>0</v>
      </c>
      <c r="Y27" s="4"/>
      <c r="Z27" s="11">
        <f>IF(T27=0,0,X27/T27)</f>
        <v>0</v>
      </c>
    </row>
    <row r="28" spans="1:26" x14ac:dyDescent="0.3">
      <c r="A28" s="9"/>
      <c r="B28" s="10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10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10"/>
      <c r="B29" s="26" t="s">
        <v>276</v>
      </c>
      <c r="C29" s="26"/>
      <c r="D29" s="20">
        <f>+D16-D18+D27</f>
        <v>-81.13</v>
      </c>
      <c r="E29" s="13"/>
      <c r="F29" s="21">
        <f>IF(D$12=0,0,D29/D$12)</f>
        <v>0</v>
      </c>
      <c r="G29" s="13"/>
      <c r="H29" s="20">
        <f>+H16-H18+H27</f>
        <v>-2458.4299999999998</v>
      </c>
      <c r="I29" s="13"/>
      <c r="J29" s="21">
        <f>IF(H$12=0,0,H29/H$12)</f>
        <v>0</v>
      </c>
      <c r="K29" s="16"/>
      <c r="L29" s="20">
        <f>+D29-H29</f>
        <v>2377.2999999999997</v>
      </c>
      <c r="M29" s="16"/>
      <c r="N29" s="21">
        <f>IF(H29=0,0,L29/H29)</f>
        <v>-0.96699926375776402</v>
      </c>
      <c r="O29" s="25"/>
      <c r="P29" s="20">
        <f>+P16-P18+P27</f>
        <v>-81.13</v>
      </c>
      <c r="Q29" s="13"/>
      <c r="R29" s="21">
        <f>IF(P$12=0,0,P29/P$12)</f>
        <v>0</v>
      </c>
      <c r="S29" s="13"/>
      <c r="T29" s="20">
        <f>+T16-T18+T27</f>
        <v>-2458.4299999999998</v>
      </c>
      <c r="U29" s="13"/>
      <c r="V29" s="21">
        <f>IF(T$12=0,0,T29/T$12)</f>
        <v>0</v>
      </c>
      <c r="W29" s="16"/>
      <c r="X29" s="20">
        <f>+P29-T29</f>
        <v>2377.2999999999997</v>
      </c>
      <c r="Y29" s="16"/>
      <c r="Z29" s="21">
        <f>IF(T29=0,0,X29/T29)</f>
        <v>-0.96699926375776402</v>
      </c>
    </row>
    <row r="30" spans="1:26" x14ac:dyDescent="0.3">
      <c r="A30" s="9"/>
      <c r="B30" s="10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x14ac:dyDescent="0.3">
      <c r="A31" s="51"/>
      <c r="B31" s="10" t="s">
        <v>127</v>
      </c>
      <c r="C31" s="10"/>
      <c r="D31" s="4"/>
      <c r="E31" s="4"/>
      <c r="F31" s="11">
        <f>IF(D$12=0,0,D31/D$12)</f>
        <v>0</v>
      </c>
      <c r="G31" s="4"/>
      <c r="H31" s="4"/>
      <c r="I31" s="4"/>
      <c r="J31" s="11">
        <f>IF(H$12=0,0,H31/H$12)</f>
        <v>0</v>
      </c>
      <c r="K31" s="4"/>
      <c r="L31" s="4">
        <f>+D31-H31</f>
        <v>0</v>
      </c>
      <c r="M31" s="4"/>
      <c r="N31" s="11">
        <f>IF(H31=0,0,L31/H31)</f>
        <v>0</v>
      </c>
      <c r="O31" s="10"/>
      <c r="P31" s="4"/>
      <c r="Q31" s="4"/>
      <c r="R31" s="11">
        <f>IF(P$12=0,0,P31/P$12)</f>
        <v>0</v>
      </c>
      <c r="S31" s="4"/>
      <c r="T31" s="4"/>
      <c r="U31" s="4"/>
      <c r="V31" s="11">
        <f>IF(T$12=0,0,T31/T$12)</f>
        <v>0</v>
      </c>
      <c r="W31" s="4"/>
      <c r="X31" s="4">
        <f>+P31-T31</f>
        <v>0</v>
      </c>
      <c r="Y31" s="4"/>
      <c r="Z31" s="11">
        <f>IF(T31=0,0,X31/T31)</f>
        <v>0</v>
      </c>
    </row>
    <row r="32" spans="1:26" x14ac:dyDescent="0.3">
      <c r="A32" s="9"/>
      <c r="B32" s="10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10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ht="15" thickBot="1" x14ac:dyDescent="0.35">
      <c r="A33" s="10"/>
      <c r="B33" s="26" t="s">
        <v>125</v>
      </c>
      <c r="C33" s="26"/>
      <c r="D33" s="36">
        <f>+D29-D31</f>
        <v>-81.13</v>
      </c>
      <c r="E33" s="13"/>
      <c r="F33" s="34">
        <f>IF(D$12=0,0,D33/D$12)</f>
        <v>0</v>
      </c>
      <c r="G33" s="13"/>
      <c r="H33" s="36">
        <f>+H29-H31</f>
        <v>-2458.4299999999998</v>
      </c>
      <c r="I33" s="13"/>
      <c r="J33" s="34">
        <f>IF(H$12=0,0,H33/H$12)</f>
        <v>0</v>
      </c>
      <c r="K33" s="16"/>
      <c r="L33" s="36">
        <f>D33-H33</f>
        <v>2377.2999999999997</v>
      </c>
      <c r="M33" s="16"/>
      <c r="N33" s="34">
        <f>IF(H33=0,0,L33/H33)</f>
        <v>-0.96699926375776402</v>
      </c>
      <c r="O33" s="25"/>
      <c r="P33" s="36">
        <f>+P29-P31</f>
        <v>-81.13</v>
      </c>
      <c r="Q33" s="13"/>
      <c r="R33" s="34">
        <f>IF(P$12=0,0,P33/P$12)</f>
        <v>0</v>
      </c>
      <c r="S33" s="13"/>
      <c r="T33" s="36">
        <f>+T29-T31</f>
        <v>-2458.4299999999998</v>
      </c>
      <c r="U33" s="13"/>
      <c r="V33" s="34">
        <f>IF(T$12=0,0,T33/T$12)</f>
        <v>0</v>
      </c>
      <c r="W33" s="16"/>
      <c r="X33" s="36">
        <f>P33-T33</f>
        <v>2377.2999999999997</v>
      </c>
      <c r="Y33" s="16"/>
      <c r="Z33" s="34">
        <f>IF(T33=0,0,X33/T33)</f>
        <v>-0.96699926375776402</v>
      </c>
    </row>
    <row r="34" spans="1:26" ht="15" thickTop="1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>
        <f>SUM(D33:D35)</f>
        <v>-81.13</v>
      </c>
      <c r="E36" s="13"/>
      <c r="F36" s="33">
        <f>IF(D$12=0,0,D36/D$12)</f>
        <v>0</v>
      </c>
      <c r="G36" s="13"/>
      <c r="H36" s="31">
        <f>SUM(H33:H35)</f>
        <v>-2458.4299999999998</v>
      </c>
      <c r="I36" s="13"/>
      <c r="J36" s="33">
        <f>IF(H$12=0,0,H36/H$12)</f>
        <v>0</v>
      </c>
      <c r="K36" s="16"/>
      <c r="L36" s="31">
        <f>+D36-H36</f>
        <v>2377.2999999999997</v>
      </c>
      <c r="M36" s="16"/>
      <c r="N36" s="33">
        <f>IF(H36=0,0,L36/H36)</f>
        <v>-0.96699926375776402</v>
      </c>
      <c r="O36" s="25"/>
      <c r="P36" s="31">
        <f>SUM(P33:P35)</f>
        <v>-81.13</v>
      </c>
      <c r="Q36" s="13"/>
      <c r="R36" s="33">
        <f>IF(P$12=0,0,P36/P$12)</f>
        <v>0</v>
      </c>
      <c r="S36" s="13"/>
      <c r="T36" s="31">
        <f>SUM(T33:T35)</f>
        <v>-2458.4299999999998</v>
      </c>
      <c r="U36" s="13"/>
      <c r="V36" s="33">
        <f>IF(T$12=0,0,T36/T$12)</f>
        <v>0</v>
      </c>
      <c r="W36" s="16"/>
      <c r="X36" s="31">
        <f>+P36-T36</f>
        <v>2377.2999999999997</v>
      </c>
      <c r="Y36" s="16"/>
      <c r="Z36" s="33">
        <f>IF(T36=0,0,X36/T36)</f>
        <v>-0.96699926375776402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>
        <v>44462.666945868055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s">
        <v>56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479.29</v>
      </c>
      <c r="E18" s="19"/>
      <c r="F18" s="35">
        <f t="shared" ref="F18:F24" si="0">IF(D$12=0,0,D18/D$12)</f>
        <v>0</v>
      </c>
      <c r="G18" s="19"/>
      <c r="H18" s="19">
        <f>SUM(OSRRefH22x_0)</f>
        <v>1212.8499999999999</v>
      </c>
      <c r="I18" s="19"/>
      <c r="J18" s="35">
        <f t="shared" ref="J18:J24" si="1">IF(H$12=0,0,H18/H$12)</f>
        <v>0</v>
      </c>
      <c r="K18" s="4"/>
      <c r="L18" s="19">
        <f t="shared" ref="L18:L24" si="2">+D18-H18</f>
        <v>-733.56</v>
      </c>
      <c r="M18" s="4"/>
      <c r="N18" s="35">
        <f t="shared" ref="N18:N24" si="3">IF(H18=0,0,L18/H18)</f>
        <v>-0.60482334996083609</v>
      </c>
      <c r="O18" s="10"/>
      <c r="P18" s="19">
        <f>SUM(OSRRefP22x_0)</f>
        <v>479.29</v>
      </c>
      <c r="Q18" s="19"/>
      <c r="R18" s="35">
        <f t="shared" ref="R18:R24" si="4">IF(P$12=0,0,P18/P$12)</f>
        <v>0</v>
      </c>
      <c r="S18" s="19"/>
      <c r="T18" s="19">
        <f>SUM(OSRRefT22x_0)</f>
        <v>1212.8499999999999</v>
      </c>
      <c r="U18" s="19"/>
      <c r="V18" s="35">
        <f t="shared" ref="V18:V24" si="5">IF(T$12=0,0,T18/T$12)</f>
        <v>0</v>
      </c>
      <c r="W18" s="4"/>
      <c r="X18" s="19">
        <f t="shared" ref="X18:X24" si="6">+P18-T18</f>
        <v>-733.56</v>
      </c>
      <c r="Y18" s="4"/>
      <c r="Z18" s="35">
        <f t="shared" ref="Z18:Z24" si="7">IF(T18=0,0,X18/T18)</f>
        <v>-0.60482334996083609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479.29</v>
      </c>
      <c r="Q19" s="1"/>
      <c r="R19" s="5">
        <f t="shared" si="4"/>
        <v>0</v>
      </c>
      <c r="S19" s="1"/>
      <c r="T19" s="1">
        <f>SUM(OSRRefT22_0x_0)</f>
        <v>479.29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2" t="str">
        <f>CONCATENATE("          ", "6322", " - ", 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479.29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479.29</v>
      </c>
      <c r="Q20" s="3"/>
      <c r="R20" s="7">
        <f t="shared" si="4"/>
        <v>0</v>
      </c>
      <c r="S20" s="3"/>
      <c r="T20" s="8">
        <v>479.29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29" customFormat="1" outlineLevel="1" collapsed="1" x14ac:dyDescent="0.3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519.54999999999995</v>
      </c>
      <c r="I21" s="1"/>
      <c r="J21" s="5">
        <f t="shared" si="1"/>
        <v>0</v>
      </c>
      <c r="K21" s="1"/>
      <c r="L21" s="1">
        <f t="shared" si="2"/>
        <v>-519.54999999999995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519.54999999999995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2" t="str">
        <f>CONCATENATE("          ", "6279", " - ", "GENERAL EXPENSE")</f>
        <v xml:space="preserve">          6279 - GENERAL EXPENSE</v>
      </c>
      <c r="C22" s="12"/>
      <c r="D22" s="8"/>
      <c r="E22" s="3"/>
      <c r="F22" s="7">
        <f t="shared" si="0"/>
        <v>0</v>
      </c>
      <c r="G22" s="3"/>
      <c r="H22" s="8">
        <v>519.54999999999995</v>
      </c>
      <c r="I22" s="3"/>
      <c r="J22" s="7">
        <f t="shared" si="1"/>
        <v>0</v>
      </c>
      <c r="K22" s="3"/>
      <c r="L22" s="8">
        <f t="shared" si="2"/>
        <v>-519.54999999999995</v>
      </c>
      <c r="M22" s="3"/>
      <c r="N22" s="7">
        <f t="shared" si="3"/>
        <v>-1</v>
      </c>
      <c r="O22" s="12"/>
      <c r="P22" s="8"/>
      <c r="Q22" s="3"/>
      <c r="R22" s="7">
        <f t="shared" si="4"/>
        <v>0</v>
      </c>
      <c r="S22" s="3"/>
      <c r="T22" s="8">
        <v>519.54999999999995</v>
      </c>
      <c r="U22" s="3"/>
      <c r="V22" s="7">
        <f t="shared" si="5"/>
        <v>0</v>
      </c>
      <c r="W22" s="3"/>
      <c r="X22" s="8">
        <f t="shared" si="6"/>
        <v>-519.54999999999995</v>
      </c>
      <c r="Y22" s="3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","Telephone/Data Lines                              ")</f>
        <v xml:space="preserve">     Telephone/Data Lines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214.01</v>
      </c>
      <c r="I23" s="1"/>
      <c r="J23" s="5">
        <f t="shared" si="1"/>
        <v>0</v>
      </c>
      <c r="K23" s="1"/>
      <c r="L23" s="1">
        <f t="shared" si="2"/>
        <v>-214.01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214.01</v>
      </c>
      <c r="U23" s="1"/>
      <c r="V23" s="5">
        <f t="shared" si="5"/>
        <v>0</v>
      </c>
      <c r="W23" s="1"/>
      <c r="X23" s="1">
        <f t="shared" si="6"/>
        <v>-214.01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2" t="str">
        <f>CONCATENATE("          ", "6309", " - ", "TELEPHONE")</f>
        <v xml:space="preserve">          6309 - TELEPHONE</v>
      </c>
      <c r="C24" s="12"/>
      <c r="D24" s="8"/>
      <c r="E24" s="3"/>
      <c r="F24" s="7">
        <f t="shared" si="0"/>
        <v>0</v>
      </c>
      <c r="G24" s="3"/>
      <c r="H24" s="8">
        <v>214.01</v>
      </c>
      <c r="I24" s="3"/>
      <c r="J24" s="7">
        <f t="shared" si="1"/>
        <v>0</v>
      </c>
      <c r="K24" s="3"/>
      <c r="L24" s="8">
        <f t="shared" si="2"/>
        <v>-214.01</v>
      </c>
      <c r="M24" s="3"/>
      <c r="N24" s="7">
        <f t="shared" si="3"/>
        <v>-1</v>
      </c>
      <c r="O24" s="12"/>
      <c r="P24" s="8"/>
      <c r="Q24" s="3"/>
      <c r="R24" s="7">
        <f t="shared" si="4"/>
        <v>0</v>
      </c>
      <c r="S24" s="3"/>
      <c r="T24" s="8">
        <v>214.01</v>
      </c>
      <c r="U24" s="3"/>
      <c r="V24" s="7">
        <f t="shared" si="5"/>
        <v>0</v>
      </c>
      <c r="W24" s="3"/>
      <c r="X24" s="8">
        <f t="shared" si="6"/>
        <v>-214.01</v>
      </c>
      <c r="Y24" s="3"/>
      <c r="Z24" s="7">
        <f t="shared" si="7"/>
        <v>-1</v>
      </c>
    </row>
    <row r="25" spans="1:26" s="53" customFormat="1" x14ac:dyDescent="0.3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292</v>
      </c>
      <c r="C26" s="10"/>
      <c r="D26" s="4">
        <f>SUM(0)</f>
        <v>0</v>
      </c>
      <c r="E26" s="4"/>
      <c r="F26" s="11">
        <f>IF(D$12=0,0,D26/D$12)</f>
        <v>0</v>
      </c>
      <c r="G26" s="4"/>
      <c r="H26" s="4">
        <f>SUM(0)</f>
        <v>0</v>
      </c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>
        <f>SUM(0)</f>
        <v>0</v>
      </c>
      <c r="Q26" s="4"/>
      <c r="R26" s="11">
        <f>IF(P$12=0,0,P26/P$12)</f>
        <v>0</v>
      </c>
      <c r="S26" s="4"/>
      <c r="T26" s="4">
        <f>SUM(0)</f>
        <v>0</v>
      </c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x14ac:dyDescent="0.3">
      <c r="A28" s="10"/>
      <c r="B28" s="26" t="s">
        <v>276</v>
      </c>
      <c r="C28" s="26"/>
      <c r="D28" s="20">
        <f>+D16-D18+D26</f>
        <v>-479.29</v>
      </c>
      <c r="E28" s="13"/>
      <c r="F28" s="21">
        <f>IF(D$12=0,0,D28/D$12)</f>
        <v>0</v>
      </c>
      <c r="G28" s="13"/>
      <c r="H28" s="20">
        <f>+H16-H18+H26</f>
        <v>-1212.8499999999999</v>
      </c>
      <c r="I28" s="13"/>
      <c r="J28" s="21">
        <f>IF(H$12=0,0,H28/H$12)</f>
        <v>0</v>
      </c>
      <c r="K28" s="16"/>
      <c r="L28" s="20">
        <f>+D28-H28</f>
        <v>733.56</v>
      </c>
      <c r="M28" s="16"/>
      <c r="N28" s="21">
        <f>IF(H28=0,0,L28/H28)</f>
        <v>-0.60482334996083609</v>
      </c>
      <c r="O28" s="25"/>
      <c r="P28" s="20">
        <f>+P16-P18+P26</f>
        <v>-479.29</v>
      </c>
      <c r="Q28" s="13"/>
      <c r="R28" s="21">
        <f>IF(P$12=0,0,P28/P$12)</f>
        <v>0</v>
      </c>
      <c r="S28" s="13"/>
      <c r="T28" s="20">
        <f>+T16-T18+T26</f>
        <v>-1212.8499999999999</v>
      </c>
      <c r="U28" s="13"/>
      <c r="V28" s="21">
        <f>IF(T$12=0,0,T28/T$12)</f>
        <v>0</v>
      </c>
      <c r="W28" s="16"/>
      <c r="X28" s="20">
        <f>+P28-T28</f>
        <v>733.56</v>
      </c>
      <c r="Y28" s="16"/>
      <c r="Z28" s="21">
        <f>IF(T28=0,0,X28/T28)</f>
        <v>-0.60482334996083609</v>
      </c>
    </row>
    <row r="29" spans="1:26" x14ac:dyDescent="0.3">
      <c r="A29" s="9"/>
      <c r="B29" s="10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23" customFormat="1" x14ac:dyDescent="0.3">
      <c r="A30" s="51"/>
      <c r="B30" s="10" t="s">
        <v>127</v>
      </c>
      <c r="C30" s="10"/>
      <c r="D30" s="4"/>
      <c r="E30" s="4"/>
      <c r="F30" s="11">
        <f>IF(D$12=0,0,D30/D$12)</f>
        <v>0</v>
      </c>
      <c r="G30" s="4"/>
      <c r="H30" s="4"/>
      <c r="I30" s="4"/>
      <c r="J30" s="11">
        <f>IF(H$12=0,0,H30/H$12)</f>
        <v>0</v>
      </c>
      <c r="K30" s="4"/>
      <c r="L30" s="4">
        <f>+D30-H30</f>
        <v>0</v>
      </c>
      <c r="M30" s="4"/>
      <c r="N30" s="11">
        <f>IF(H30=0,0,L30/H30)</f>
        <v>0</v>
      </c>
      <c r="O30" s="10"/>
      <c r="P30" s="4"/>
      <c r="Q30" s="4"/>
      <c r="R30" s="11">
        <f>IF(P$12=0,0,P30/P$12)</f>
        <v>0</v>
      </c>
      <c r="S30" s="4"/>
      <c r="T30" s="4"/>
      <c r="U30" s="4"/>
      <c r="V30" s="11">
        <f>IF(T$12=0,0,T30/T$12)</f>
        <v>0</v>
      </c>
      <c r="W30" s="4"/>
      <c r="X30" s="4">
        <f>+P30-T30</f>
        <v>0</v>
      </c>
      <c r="Y30" s="4"/>
      <c r="Z30" s="11">
        <f>IF(T30=0,0,X30/T30)</f>
        <v>0</v>
      </c>
    </row>
    <row r="31" spans="1:26" x14ac:dyDescent="0.3">
      <c r="A31" s="9"/>
      <c r="B31" s="10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10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23" customFormat="1" ht="15" thickBot="1" x14ac:dyDescent="0.35">
      <c r="A32" s="10"/>
      <c r="B32" s="26" t="s">
        <v>125</v>
      </c>
      <c r="C32" s="26"/>
      <c r="D32" s="36">
        <f>+D28-D30</f>
        <v>-479.29</v>
      </c>
      <c r="E32" s="13"/>
      <c r="F32" s="34">
        <f>IF(D$12=0,0,D32/D$12)</f>
        <v>0</v>
      </c>
      <c r="G32" s="13"/>
      <c r="H32" s="36">
        <f>+H28-H30</f>
        <v>-1212.8499999999999</v>
      </c>
      <c r="I32" s="13"/>
      <c r="J32" s="34">
        <f>IF(H$12=0,0,H32/H$12)</f>
        <v>0</v>
      </c>
      <c r="K32" s="16"/>
      <c r="L32" s="36">
        <f>D32-H32</f>
        <v>733.56</v>
      </c>
      <c r="M32" s="16"/>
      <c r="N32" s="34">
        <f>IF(H32=0,0,L32/H32)</f>
        <v>-0.60482334996083609</v>
      </c>
      <c r="O32" s="25"/>
      <c r="P32" s="36">
        <f>+P28-P30</f>
        <v>-479.29</v>
      </c>
      <c r="Q32" s="13"/>
      <c r="R32" s="34">
        <f>IF(P$12=0,0,P32/P$12)</f>
        <v>0</v>
      </c>
      <c r="S32" s="13"/>
      <c r="T32" s="36">
        <f>+T28-T30</f>
        <v>-1212.8499999999999</v>
      </c>
      <c r="U32" s="13"/>
      <c r="V32" s="34">
        <f>IF(T$12=0,0,T32/T$12)</f>
        <v>0</v>
      </c>
      <c r="W32" s="16"/>
      <c r="X32" s="36">
        <f>P32-T32</f>
        <v>733.56</v>
      </c>
      <c r="Y32" s="16"/>
      <c r="Z32" s="34">
        <f>IF(T32=0,0,X32/T32)</f>
        <v>-0.60482334996083609</v>
      </c>
    </row>
    <row r="33" spans="1:26" ht="15" thickTop="1" x14ac:dyDescent="0.3">
      <c r="A33" s="9"/>
      <c r="B33" s="9"/>
      <c r="C33" s="9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x14ac:dyDescent="0.3">
      <c r="A34" s="9"/>
      <c r="B34" s="9"/>
      <c r="C34" s="9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ht="15" thickBot="1" x14ac:dyDescent="0.35">
      <c r="A35" s="10"/>
      <c r="B35" s="26" t="s">
        <v>293</v>
      </c>
      <c r="C35" s="26"/>
      <c r="D35" s="31">
        <f>SUM(D32:D34)</f>
        <v>-479.29</v>
      </c>
      <c r="E35" s="13"/>
      <c r="F35" s="33">
        <f>IF(D$12=0,0,D35/D$12)</f>
        <v>0</v>
      </c>
      <c r="G35" s="13"/>
      <c r="H35" s="31">
        <f>SUM(H32:H34)</f>
        <v>-1212.8499999999999</v>
      </c>
      <c r="I35" s="13"/>
      <c r="J35" s="33">
        <f>IF(H$12=0,0,H35/H$12)</f>
        <v>0</v>
      </c>
      <c r="K35" s="16"/>
      <c r="L35" s="31">
        <f>+D35-H35</f>
        <v>733.56</v>
      </c>
      <c r="M35" s="16"/>
      <c r="N35" s="33">
        <f>IF(H35=0,0,L35/H35)</f>
        <v>-0.60482334996083609</v>
      </c>
      <c r="O35" s="25"/>
      <c r="P35" s="31">
        <f>SUM(P32:P34)</f>
        <v>-479.29</v>
      </c>
      <c r="Q35" s="13"/>
      <c r="R35" s="33">
        <f>IF(P$12=0,0,P35/P$12)</f>
        <v>0</v>
      </c>
      <c r="S35" s="13"/>
      <c r="T35" s="31">
        <f>SUM(T32:T34)</f>
        <v>-1212.8499999999999</v>
      </c>
      <c r="U35" s="13"/>
      <c r="V35" s="33">
        <f>IF(T$12=0,0,T35/T$12)</f>
        <v>0</v>
      </c>
      <c r="W35" s="16"/>
      <c r="X35" s="31">
        <f>+P35-T35</f>
        <v>733.56</v>
      </c>
      <c r="Y35" s="16"/>
      <c r="Z35" s="33">
        <f>IF(T35=0,0,X35/T35)</f>
        <v>-0.60482334996083609</v>
      </c>
    </row>
    <row r="36" spans="1:26" ht="15" thickTop="1" x14ac:dyDescent="0.3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3">
      <c r="A37" s="9"/>
      <c r="B37" s="59">
        <v>44462.666945868055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7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61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collapsed="1" x14ac:dyDescent="0.3">
      <c r="A14" s="10"/>
      <c r="B14" s="25" t="s">
        <v>256</v>
      </c>
      <c r="C14" s="10"/>
      <c r="D14" s="4">
        <f>SUM(OSRRefD16x_0)</f>
        <v>-1034.73</v>
      </c>
      <c r="E14" s="4"/>
      <c r="F14" s="11">
        <f t="shared" ref="F14:F15" si="0">IF(D$12=0,0,D14/D$12)</f>
        <v>0</v>
      </c>
      <c r="G14" s="4"/>
      <c r="H14" s="4">
        <f>SUM(OSRRefH16x_0)</f>
        <v>0</v>
      </c>
      <c r="I14" s="4"/>
      <c r="J14" s="11">
        <f t="shared" ref="J14:J15" si="1">IF(H$12=0,0,H14/H$12)</f>
        <v>0</v>
      </c>
      <c r="K14" s="4"/>
      <c r="L14" s="4">
        <f t="shared" ref="L14:L15" si="2">+D14-H14</f>
        <v>-1034.73</v>
      </c>
      <c r="M14" s="4"/>
      <c r="N14" s="11">
        <f t="shared" ref="N14:N15" si="3">IF(H14=0,0,L14/H14)</f>
        <v>0</v>
      </c>
      <c r="O14" s="10"/>
      <c r="P14" s="4">
        <f>SUM(OSRRefP16x_0)</f>
        <v>-1034.73</v>
      </c>
      <c r="Q14" s="4"/>
      <c r="R14" s="11">
        <f t="shared" ref="R14:R15" si="4">IF(P$12=0,0,P14/P$12)</f>
        <v>0</v>
      </c>
      <c r="S14" s="4"/>
      <c r="T14" s="4">
        <f>SUM(OSRRefT16x_0)</f>
        <v>0</v>
      </c>
      <c r="U14" s="4"/>
      <c r="V14" s="11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1">
        <f t="shared" ref="Z14:Z15" si="7">IF(T14=0,0,X14/T14)</f>
        <v>0</v>
      </c>
    </row>
    <row r="15" spans="1:26" s="24" customFormat="1" hidden="1" outlineLevel="1" x14ac:dyDescent="0.3">
      <c r="A15" s="50"/>
      <c r="B15" s="12" t="str">
        <f>CONCATENATE("          ", "5053", " - ", "PURCHASES @ COST-FOOD")</f>
        <v xml:space="preserve">          5053 - PURCHASES @ COST-FOOD</v>
      </c>
      <c r="C15" s="12"/>
      <c r="D15" s="3">
        <v>-1034.73</v>
      </c>
      <c r="E15" s="3"/>
      <c r="F15" s="22">
        <f t="shared" si="0"/>
        <v>0</v>
      </c>
      <c r="G15" s="3"/>
      <c r="H15" s="3"/>
      <c r="I15" s="3"/>
      <c r="J15" s="22">
        <f t="shared" si="1"/>
        <v>0</v>
      </c>
      <c r="K15" s="3"/>
      <c r="L15" s="3">
        <f t="shared" si="2"/>
        <v>-1034.73</v>
      </c>
      <c r="M15" s="3"/>
      <c r="N15" s="22">
        <f t="shared" si="3"/>
        <v>0</v>
      </c>
      <c r="O15" s="12"/>
      <c r="P15" s="3">
        <v>-1034.73</v>
      </c>
      <c r="Q15" s="3"/>
      <c r="R15" s="22">
        <f t="shared" si="4"/>
        <v>0</v>
      </c>
      <c r="S15" s="3"/>
      <c r="T15" s="3"/>
      <c r="U15" s="3"/>
      <c r="V15" s="22">
        <f t="shared" si="5"/>
        <v>0</v>
      </c>
      <c r="W15" s="3"/>
      <c r="X15" s="3">
        <f t="shared" si="6"/>
        <v>-1034.73</v>
      </c>
      <c r="Y15" s="3"/>
      <c r="Z15" s="22">
        <f t="shared" si="7"/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D12-D14</f>
        <v>1034.73</v>
      </c>
      <c r="E17" s="13"/>
      <c r="F17" s="21">
        <f>IF(D$12=0,0,D17/D$12)</f>
        <v>0</v>
      </c>
      <c r="G17" s="13"/>
      <c r="H17" s="20">
        <f>H12-H14</f>
        <v>0</v>
      </c>
      <c r="I17" s="13"/>
      <c r="J17" s="21">
        <f>IF(H$12=0,0,H17/H$12)</f>
        <v>0</v>
      </c>
      <c r="K17" s="16"/>
      <c r="L17" s="20">
        <f>+D17-H17</f>
        <v>1034.73</v>
      </c>
      <c r="M17" s="16"/>
      <c r="N17" s="21">
        <f>IF(H17=0,0,L17/H17)</f>
        <v>0</v>
      </c>
      <c r="O17" s="25"/>
      <c r="P17" s="20">
        <f>P12-P14</f>
        <v>1034.73</v>
      </c>
      <c r="Q17" s="13"/>
      <c r="R17" s="21">
        <f>IF(P$12=0,0,P17/P$12)</f>
        <v>0</v>
      </c>
      <c r="S17" s="13"/>
      <c r="T17" s="20">
        <f>T12-T14</f>
        <v>0</v>
      </c>
      <c r="U17" s="13"/>
      <c r="V17" s="21">
        <f>IF(T$12=0,0,T17/T$12)</f>
        <v>0</v>
      </c>
      <c r="W17" s="16"/>
      <c r="X17" s="20">
        <f>+P17-T17</f>
        <v>1034.73</v>
      </c>
      <c r="Y17" s="16"/>
      <c r="Z17" s="21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1000.91</v>
      </c>
      <c r="E19" s="19"/>
      <c r="F19" s="35">
        <f t="shared" ref="F19:F25" si="8">IF(D$12=0,0,D19/D$12)</f>
        <v>0</v>
      </c>
      <c r="G19" s="19"/>
      <c r="H19" s="19">
        <f>SUM(OSRRefH22x_0)</f>
        <v>3855.2699999999995</v>
      </c>
      <c r="I19" s="19"/>
      <c r="J19" s="35">
        <f t="shared" ref="J19:J25" si="9">IF(H$12=0,0,H19/H$12)</f>
        <v>0</v>
      </c>
      <c r="K19" s="4"/>
      <c r="L19" s="19">
        <f t="shared" ref="L19:L25" si="10">+D19-H19</f>
        <v>-2854.3599999999997</v>
      </c>
      <c r="M19" s="4"/>
      <c r="N19" s="35">
        <f t="shared" ref="N19:N25" si="11">IF(H19=0,0,L19/H19)</f>
        <v>-0.74037875427661359</v>
      </c>
      <c r="O19" s="10"/>
      <c r="P19" s="19">
        <f>SUM(OSRRefP22x_0)</f>
        <v>1000.91</v>
      </c>
      <c r="Q19" s="19"/>
      <c r="R19" s="35">
        <f t="shared" ref="R19:R25" si="12">IF(P$12=0,0,P19/P$12)</f>
        <v>0</v>
      </c>
      <c r="S19" s="19"/>
      <c r="T19" s="19">
        <f>SUM(OSRRefT22x_0)</f>
        <v>3855.2699999999995</v>
      </c>
      <c r="U19" s="19"/>
      <c r="V19" s="35">
        <f t="shared" ref="V19:V25" si="13">IF(T$12=0,0,T19/T$12)</f>
        <v>0</v>
      </c>
      <c r="W19" s="4"/>
      <c r="X19" s="19">
        <f t="shared" ref="X19:X25" si="14">+P19-T19</f>
        <v>-2854.3599999999997</v>
      </c>
      <c r="Y19" s="4"/>
      <c r="Z19" s="35">
        <f t="shared" ref="Z19:Z25" si="15">IF(T19=0,0,X19/T19)</f>
        <v>-0.74037875427661359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1419.75</v>
      </c>
      <c r="I20" s="1"/>
      <c r="J20" s="5">
        <f t="shared" si="9"/>
        <v>0</v>
      </c>
      <c r="K20" s="1"/>
      <c r="L20" s="1">
        <f t="shared" si="10"/>
        <v>-1419.75</v>
      </c>
      <c r="M20" s="1"/>
      <c r="N20" s="5">
        <f t="shared" si="11"/>
        <v>-1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1419.75</v>
      </c>
      <c r="U20" s="1"/>
      <c r="V20" s="5">
        <f t="shared" si="13"/>
        <v>0</v>
      </c>
      <c r="W20" s="1"/>
      <c r="X20" s="1">
        <f t="shared" si="14"/>
        <v>-1419.75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2" t="str">
        <f>CONCATENATE("          ", "6111", " - ", "F.I.C.A.")</f>
        <v xml:space="preserve">          6111 - F.I.C.A.</v>
      </c>
      <c r="C21" s="12"/>
      <c r="D21" s="8"/>
      <c r="E21" s="3"/>
      <c r="F21" s="7">
        <f t="shared" si="8"/>
        <v>0</v>
      </c>
      <c r="G21" s="3"/>
      <c r="H21" s="8">
        <v>170.79</v>
      </c>
      <c r="I21" s="3"/>
      <c r="J21" s="7">
        <f t="shared" si="9"/>
        <v>0</v>
      </c>
      <c r="K21" s="3"/>
      <c r="L21" s="8">
        <f t="shared" si="10"/>
        <v>-170.79</v>
      </c>
      <c r="M21" s="3"/>
      <c r="N21" s="7">
        <f t="shared" si="11"/>
        <v>-1</v>
      </c>
      <c r="O21" s="12"/>
      <c r="P21" s="8"/>
      <c r="Q21" s="3"/>
      <c r="R21" s="7">
        <f t="shared" si="12"/>
        <v>0</v>
      </c>
      <c r="S21" s="3"/>
      <c r="T21" s="8">
        <v>170.79</v>
      </c>
      <c r="U21" s="3"/>
      <c r="V21" s="7">
        <f t="shared" si="13"/>
        <v>0</v>
      </c>
      <c r="W21" s="3"/>
      <c r="X21" s="8">
        <f t="shared" si="14"/>
        <v>-170.79</v>
      </c>
      <c r="Y21" s="3"/>
      <c r="Z21" s="7">
        <f t="shared" si="15"/>
        <v>-1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/>
      <c r="E22" s="3"/>
      <c r="F22" s="7">
        <f t="shared" si="8"/>
        <v>0</v>
      </c>
      <c r="G22" s="3"/>
      <c r="H22" s="8">
        <v>699.3</v>
      </c>
      <c r="I22" s="3"/>
      <c r="J22" s="7">
        <f t="shared" si="9"/>
        <v>0</v>
      </c>
      <c r="K22" s="3"/>
      <c r="L22" s="8">
        <f t="shared" si="10"/>
        <v>-699.3</v>
      </c>
      <c r="M22" s="3"/>
      <c r="N22" s="7">
        <f t="shared" si="11"/>
        <v>-1</v>
      </c>
      <c r="O22" s="12"/>
      <c r="P22" s="8"/>
      <c r="Q22" s="3"/>
      <c r="R22" s="7">
        <f t="shared" si="12"/>
        <v>0</v>
      </c>
      <c r="S22" s="3"/>
      <c r="T22" s="8">
        <v>699.3</v>
      </c>
      <c r="U22" s="3"/>
      <c r="V22" s="7">
        <f t="shared" si="13"/>
        <v>0</v>
      </c>
      <c r="W22" s="3"/>
      <c r="X22" s="8">
        <f t="shared" si="14"/>
        <v>-699.3</v>
      </c>
      <c r="Y22" s="3"/>
      <c r="Z22" s="7">
        <f t="shared" si="15"/>
        <v>-1</v>
      </c>
    </row>
    <row r="23" spans="1:26" s="24" customFormat="1" hidden="1" outlineLevel="2" x14ac:dyDescent="0.3">
      <c r="A23" s="27"/>
      <c r="B23" s="12" t="str">
        <f>CONCATENATE("          ", "6115", " - ", "P.E.R.S.")</f>
        <v xml:space="preserve">          6115 - P.E.R.S.</v>
      </c>
      <c r="C23" s="12"/>
      <c r="D23" s="8"/>
      <c r="E23" s="3"/>
      <c r="F23" s="7">
        <f t="shared" si="8"/>
        <v>0</v>
      </c>
      <c r="G23" s="3"/>
      <c r="H23" s="8">
        <v>355.22</v>
      </c>
      <c r="I23" s="3"/>
      <c r="J23" s="7">
        <f t="shared" si="9"/>
        <v>0</v>
      </c>
      <c r="K23" s="3"/>
      <c r="L23" s="8">
        <f t="shared" si="10"/>
        <v>-355.22</v>
      </c>
      <c r="M23" s="3"/>
      <c r="N23" s="7">
        <f t="shared" si="11"/>
        <v>-1</v>
      </c>
      <c r="O23" s="12"/>
      <c r="P23" s="8"/>
      <c r="Q23" s="3"/>
      <c r="R23" s="7">
        <f t="shared" si="12"/>
        <v>0</v>
      </c>
      <c r="S23" s="3"/>
      <c r="T23" s="8">
        <v>355.22</v>
      </c>
      <c r="U23" s="3"/>
      <c r="V23" s="7">
        <f t="shared" si="13"/>
        <v>0</v>
      </c>
      <c r="W23" s="3"/>
      <c r="X23" s="8">
        <f t="shared" si="14"/>
        <v>-355.22</v>
      </c>
      <c r="Y23" s="3"/>
      <c r="Z23" s="7">
        <f t="shared" si="15"/>
        <v>-1</v>
      </c>
    </row>
    <row r="24" spans="1:26" s="24" customFormat="1" hidden="1" outlineLevel="2" x14ac:dyDescent="0.3">
      <c r="A24" s="27"/>
      <c r="B24" s="12" t="str">
        <f>CONCATENATE("          ", "6118", " - ", "VACATION")</f>
        <v xml:space="preserve">          6118 - VACATION</v>
      </c>
      <c r="C24" s="12"/>
      <c r="D24" s="8"/>
      <c r="E24" s="3"/>
      <c r="F24" s="7">
        <f t="shared" si="8"/>
        <v>0</v>
      </c>
      <c r="G24" s="3"/>
      <c r="H24" s="8">
        <v>88.46</v>
      </c>
      <c r="I24" s="3"/>
      <c r="J24" s="7">
        <f t="shared" si="9"/>
        <v>0</v>
      </c>
      <c r="K24" s="3"/>
      <c r="L24" s="8">
        <f t="shared" si="10"/>
        <v>-88.46</v>
      </c>
      <c r="M24" s="3"/>
      <c r="N24" s="7">
        <f t="shared" si="11"/>
        <v>-1</v>
      </c>
      <c r="O24" s="12"/>
      <c r="P24" s="8"/>
      <c r="Q24" s="3"/>
      <c r="R24" s="7">
        <f t="shared" si="12"/>
        <v>0</v>
      </c>
      <c r="S24" s="3"/>
      <c r="T24" s="8">
        <v>88.46</v>
      </c>
      <c r="U24" s="3"/>
      <c r="V24" s="7">
        <f t="shared" si="13"/>
        <v>0</v>
      </c>
      <c r="W24" s="3"/>
      <c r="X24" s="8">
        <f t="shared" si="14"/>
        <v>-88.46</v>
      </c>
      <c r="Y24" s="3"/>
      <c r="Z24" s="7">
        <f t="shared" si="15"/>
        <v>-1</v>
      </c>
    </row>
    <row r="25" spans="1:26" s="24" customFormat="1" hidden="1" outlineLevel="2" x14ac:dyDescent="0.3">
      <c r="A25" s="27"/>
      <c r="B25" s="12" t="str">
        <f>CONCATENATE("          ", "6119", " - ", "SICK LEAVE")</f>
        <v xml:space="preserve">          6119 - SICK LEAVE</v>
      </c>
      <c r="C25" s="12"/>
      <c r="D25" s="8"/>
      <c r="E25" s="3"/>
      <c r="F25" s="7">
        <f t="shared" si="8"/>
        <v>0</v>
      </c>
      <c r="G25" s="3"/>
      <c r="H25" s="8">
        <v>105.98</v>
      </c>
      <c r="I25" s="3"/>
      <c r="J25" s="7">
        <f t="shared" si="9"/>
        <v>0</v>
      </c>
      <c r="K25" s="3"/>
      <c r="L25" s="8">
        <f t="shared" si="10"/>
        <v>-105.98</v>
      </c>
      <c r="M25" s="3"/>
      <c r="N25" s="7">
        <f t="shared" si="11"/>
        <v>-1</v>
      </c>
      <c r="O25" s="12"/>
      <c r="P25" s="8"/>
      <c r="Q25" s="3"/>
      <c r="R25" s="7">
        <f t="shared" si="12"/>
        <v>0</v>
      </c>
      <c r="S25" s="3"/>
      <c r="T25" s="8">
        <v>105.98</v>
      </c>
      <c r="U25" s="3"/>
      <c r="V25" s="7">
        <f t="shared" si="13"/>
        <v>0</v>
      </c>
      <c r="W25" s="3"/>
      <c r="X25" s="8">
        <f t="shared" si="14"/>
        <v>-105.98</v>
      </c>
      <c r="Y25" s="3"/>
      <c r="Z25" s="7">
        <f t="shared" si="15"/>
        <v>-1</v>
      </c>
    </row>
    <row r="26" spans="1:26" s="29" customFormat="1" outlineLevel="1" collapsed="1" x14ac:dyDescent="0.3">
      <c r="A26" s="28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1" si="16">IF(D$12=0,0,D26/D$12)</f>
        <v>0</v>
      </c>
      <c r="G26" s="1"/>
      <c r="H26" s="1">
        <f>SUM(OSRRefH22_1x_0)</f>
        <v>1378.61</v>
      </c>
      <c r="I26" s="1"/>
      <c r="J26" s="5">
        <f t="shared" ref="J26:J31" si="17">IF(H$12=0,0,H26/H$12)</f>
        <v>0</v>
      </c>
      <c r="K26" s="1"/>
      <c r="L26" s="1">
        <f t="shared" ref="L26:L31" si="18">+D26-H26</f>
        <v>-1378.61</v>
      </c>
      <c r="M26" s="1"/>
      <c r="N26" s="5">
        <f t="shared" ref="N26:N31" si="19">IF(H26=0,0,L26/H26)</f>
        <v>-1</v>
      </c>
      <c r="O26" s="14"/>
      <c r="P26" s="1">
        <f>SUM(OSRRefP22_1x_0)</f>
        <v>0</v>
      </c>
      <c r="Q26" s="1"/>
      <c r="R26" s="5">
        <f t="shared" ref="R26:R31" si="20">IF(P$12=0,0,P26/P$12)</f>
        <v>0</v>
      </c>
      <c r="S26" s="1"/>
      <c r="T26" s="1">
        <f>SUM(OSRRefT22_1x_0)</f>
        <v>1378.61</v>
      </c>
      <c r="U26" s="1"/>
      <c r="V26" s="5">
        <f t="shared" ref="V26:V31" si="21">IF(T$12=0,0,T26/T$12)</f>
        <v>0</v>
      </c>
      <c r="W26" s="1"/>
      <c r="X26" s="1">
        <f t="shared" ref="X26:X31" si="22">+P26-T26</f>
        <v>-1378.61</v>
      </c>
      <c r="Y26" s="1"/>
      <c r="Z26" s="5">
        <f t="shared" ref="Z26:Z31" si="23">IF(T26=0,0,X26/T26)</f>
        <v>-1</v>
      </c>
    </row>
    <row r="27" spans="1:26" s="24" customFormat="1" hidden="1" outlineLevel="2" x14ac:dyDescent="0.3">
      <c r="A27" s="27"/>
      <c r="B27" s="12" t="str">
        <f>CONCATENATE("          ", "6002", " - ", "STAFF SALARIES")</f>
        <v xml:space="preserve">          6002 - STAFF SALARIES</v>
      </c>
      <c r="C27" s="12"/>
      <c r="D27" s="8"/>
      <c r="E27" s="3"/>
      <c r="F27" s="7">
        <f t="shared" si="16"/>
        <v>0</v>
      </c>
      <c r="G27" s="3"/>
      <c r="H27" s="8">
        <v>1378.61</v>
      </c>
      <c r="I27" s="3"/>
      <c r="J27" s="7">
        <f t="shared" si="17"/>
        <v>0</v>
      </c>
      <c r="K27" s="3"/>
      <c r="L27" s="8">
        <f t="shared" si="18"/>
        <v>-1378.61</v>
      </c>
      <c r="M27" s="3"/>
      <c r="N27" s="7">
        <f t="shared" si="19"/>
        <v>-1</v>
      </c>
      <c r="O27" s="12"/>
      <c r="P27" s="8"/>
      <c r="Q27" s="3"/>
      <c r="R27" s="7">
        <f t="shared" si="20"/>
        <v>0</v>
      </c>
      <c r="S27" s="3"/>
      <c r="T27" s="8">
        <v>1378.61</v>
      </c>
      <c r="U27" s="3"/>
      <c r="V27" s="7">
        <f t="shared" si="21"/>
        <v>0</v>
      </c>
      <c r="W27" s="3"/>
      <c r="X27" s="8">
        <f t="shared" si="22"/>
        <v>-1378.61</v>
      </c>
      <c r="Y27" s="3"/>
      <c r="Z27" s="7">
        <f t="shared" si="23"/>
        <v>-1</v>
      </c>
    </row>
    <row r="28" spans="1:26" s="29" customFormat="1" outlineLevel="1" collapsed="1" x14ac:dyDescent="0.3">
      <c r="A28" s="28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1000.91</v>
      </c>
      <c r="I28" s="1"/>
      <c r="J28" s="5">
        <f t="shared" si="17"/>
        <v>0</v>
      </c>
      <c r="K28" s="1"/>
      <c r="L28" s="1">
        <f t="shared" si="18"/>
        <v>0</v>
      </c>
      <c r="M28" s="1"/>
      <c r="N28" s="5">
        <f t="shared" si="19"/>
        <v>0</v>
      </c>
      <c r="O28" s="14"/>
      <c r="P28" s="1">
        <f>SUM(OSRRefP22_2x_0)</f>
        <v>1000.91</v>
      </c>
      <c r="Q28" s="1"/>
      <c r="R28" s="5">
        <f t="shared" si="20"/>
        <v>0</v>
      </c>
      <c r="S28" s="1"/>
      <c r="T28" s="1">
        <f>SUM(OSRRefT22_2x_0)</f>
        <v>1000.91</v>
      </c>
      <c r="U28" s="1"/>
      <c r="V28" s="5">
        <f t="shared" si="21"/>
        <v>0</v>
      </c>
      <c r="W28" s="1"/>
      <c r="X28" s="1">
        <f t="shared" si="22"/>
        <v>0</v>
      </c>
      <c r="Y28" s="1"/>
      <c r="Z28" s="5">
        <f t="shared" si="23"/>
        <v>0</v>
      </c>
    </row>
    <row r="29" spans="1:26" s="24" customFormat="1" hidden="1" outlineLevel="2" x14ac:dyDescent="0.3">
      <c r="A29" s="27"/>
      <c r="B29" s="12" t="str">
        <f>CONCATENATE("          ", "6322", " - ", "EQUIPMENT DEPRECIATION EXPENSE")</f>
        <v xml:space="preserve">          6322 - EQUIPMENT DEPRECIATION EXPENSE</v>
      </c>
      <c r="C29" s="12"/>
      <c r="D29" s="8">
        <v>1000.91</v>
      </c>
      <c r="E29" s="3"/>
      <c r="F29" s="7">
        <f t="shared" si="16"/>
        <v>0</v>
      </c>
      <c r="G29" s="3"/>
      <c r="H29" s="8">
        <v>1000.91</v>
      </c>
      <c r="I29" s="3"/>
      <c r="J29" s="7">
        <f t="shared" si="17"/>
        <v>0</v>
      </c>
      <c r="K29" s="3"/>
      <c r="L29" s="8">
        <f t="shared" si="18"/>
        <v>0</v>
      </c>
      <c r="M29" s="3"/>
      <c r="N29" s="7">
        <f t="shared" si="19"/>
        <v>0</v>
      </c>
      <c r="O29" s="12"/>
      <c r="P29" s="8">
        <v>1000.91</v>
      </c>
      <c r="Q29" s="3"/>
      <c r="R29" s="7">
        <f t="shared" si="20"/>
        <v>0</v>
      </c>
      <c r="S29" s="3"/>
      <c r="T29" s="8">
        <v>1000.91</v>
      </c>
      <c r="U29" s="3"/>
      <c r="V29" s="7">
        <f t="shared" si="21"/>
        <v>0</v>
      </c>
      <c r="W29" s="3"/>
      <c r="X29" s="8">
        <f t="shared" si="22"/>
        <v>0</v>
      </c>
      <c r="Y29" s="3"/>
      <c r="Z29" s="7">
        <f t="shared" si="23"/>
        <v>0</v>
      </c>
    </row>
    <row r="30" spans="1:26" s="29" customFormat="1" outlineLevel="1" collapsed="1" x14ac:dyDescent="0.3">
      <c r="A30" s="28"/>
      <c r="B30" s="14" t="str">
        <f>CONCATENATE("     ","Telephone/Data Lines                              ")</f>
        <v xml:space="preserve">     Telephone/Data Lines  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56</v>
      </c>
      <c r="I30" s="1"/>
      <c r="J30" s="5">
        <f t="shared" si="17"/>
        <v>0</v>
      </c>
      <c r="K30" s="1"/>
      <c r="L30" s="1">
        <f t="shared" si="18"/>
        <v>-56</v>
      </c>
      <c r="M30" s="1"/>
      <c r="N30" s="5">
        <f t="shared" si="19"/>
        <v>-1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56</v>
      </c>
      <c r="U30" s="1"/>
      <c r="V30" s="5">
        <f t="shared" si="21"/>
        <v>0</v>
      </c>
      <c r="W30" s="1"/>
      <c r="X30" s="1">
        <f t="shared" si="22"/>
        <v>-56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2" t="str">
        <f>CONCATENATE("          ", "6309", " - ", "TELEPHONE")</f>
        <v xml:space="preserve">          6309 - TELEPHONE</v>
      </c>
      <c r="C31" s="12"/>
      <c r="D31" s="8"/>
      <c r="E31" s="3"/>
      <c r="F31" s="7">
        <f t="shared" si="16"/>
        <v>0</v>
      </c>
      <c r="G31" s="3"/>
      <c r="H31" s="8">
        <v>56</v>
      </c>
      <c r="I31" s="3"/>
      <c r="J31" s="7">
        <f t="shared" si="17"/>
        <v>0</v>
      </c>
      <c r="K31" s="3"/>
      <c r="L31" s="8">
        <f t="shared" si="18"/>
        <v>-56</v>
      </c>
      <c r="M31" s="3"/>
      <c r="N31" s="7">
        <f t="shared" si="19"/>
        <v>-1</v>
      </c>
      <c r="O31" s="12"/>
      <c r="P31" s="8"/>
      <c r="Q31" s="3"/>
      <c r="R31" s="7">
        <f t="shared" si="20"/>
        <v>0</v>
      </c>
      <c r="S31" s="3"/>
      <c r="T31" s="8">
        <v>56</v>
      </c>
      <c r="U31" s="3"/>
      <c r="V31" s="7">
        <f t="shared" si="21"/>
        <v>0</v>
      </c>
      <c r="W31" s="3"/>
      <c r="X31" s="8">
        <f t="shared" si="22"/>
        <v>-56</v>
      </c>
      <c r="Y31" s="3"/>
      <c r="Z31" s="7">
        <f t="shared" si="23"/>
        <v>-1</v>
      </c>
    </row>
    <row r="32" spans="1:26" s="53" customFormat="1" x14ac:dyDescent="0.3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292</v>
      </c>
      <c r="C33" s="10"/>
      <c r="D33" s="4">
        <f>SUM(0)</f>
        <v>0</v>
      </c>
      <c r="E33" s="4"/>
      <c r="F33" s="11">
        <f>IF(D$12=0,0,D33/D$12)</f>
        <v>0</v>
      </c>
      <c r="G33" s="4"/>
      <c r="H33" s="4">
        <f>SUM(0)</f>
        <v>0</v>
      </c>
      <c r="I33" s="4"/>
      <c r="J33" s="11">
        <f>IF(H$12=0,0,H33/H$12)</f>
        <v>0</v>
      </c>
      <c r="K33" s="4"/>
      <c r="L33" s="4">
        <f>+D33-H33</f>
        <v>0</v>
      </c>
      <c r="M33" s="4"/>
      <c r="N33" s="11">
        <f>IF(H33=0,0,L33/H33)</f>
        <v>0</v>
      </c>
      <c r="O33" s="10"/>
      <c r="P33" s="4">
        <f>SUM(0)</f>
        <v>0</v>
      </c>
      <c r="Q33" s="4"/>
      <c r="R33" s="11">
        <f>IF(P$12=0,0,P33/P$12)</f>
        <v>0</v>
      </c>
      <c r="S33" s="4"/>
      <c r="T33" s="4">
        <f>SUM(0)</f>
        <v>0</v>
      </c>
      <c r="U33" s="4"/>
      <c r="V33" s="11">
        <f>IF(T$12=0,0,T33/T$12)</f>
        <v>0</v>
      </c>
      <c r="W33" s="4"/>
      <c r="X33" s="4">
        <f>+P33-T33</f>
        <v>0</v>
      </c>
      <c r="Y33" s="4"/>
      <c r="Z33" s="11">
        <f>IF(T33=0,0,X33/T33)</f>
        <v>0</v>
      </c>
    </row>
    <row r="34" spans="1:26" x14ac:dyDescent="0.3">
      <c r="A34" s="9"/>
      <c r="B34" s="10"/>
      <c r="C34" s="10"/>
      <c r="D34" s="2"/>
      <c r="E34" s="2"/>
      <c r="F34" s="6"/>
      <c r="G34" s="2"/>
      <c r="H34" s="2"/>
      <c r="I34" s="2"/>
      <c r="J34" s="6"/>
      <c r="K34" s="2"/>
      <c r="L34" s="2"/>
      <c r="M34" s="2"/>
      <c r="N34" s="6"/>
      <c r="O34" s="10"/>
      <c r="P34" s="2"/>
      <c r="Q34" s="2"/>
      <c r="R34" s="6"/>
      <c r="S34" s="2"/>
      <c r="T34" s="2"/>
      <c r="U34" s="2"/>
      <c r="V34" s="6"/>
      <c r="W34" s="2"/>
      <c r="X34" s="2"/>
      <c r="Y34" s="2"/>
      <c r="Z34" s="6"/>
    </row>
    <row r="35" spans="1:26" s="23" customFormat="1" x14ac:dyDescent="0.3">
      <c r="A35" s="10"/>
      <c r="B35" s="26" t="s">
        <v>276</v>
      </c>
      <c r="C35" s="26"/>
      <c r="D35" s="20">
        <f>+D17-D19+D33</f>
        <v>33.82000000000005</v>
      </c>
      <c r="E35" s="13"/>
      <c r="F35" s="21">
        <f>IF(D$12=0,0,D35/D$12)</f>
        <v>0</v>
      </c>
      <c r="G35" s="13"/>
      <c r="H35" s="20">
        <f>+H17-H19+H33</f>
        <v>-3855.2699999999995</v>
      </c>
      <c r="I35" s="13"/>
      <c r="J35" s="21">
        <f>IF(H$12=0,0,H35/H$12)</f>
        <v>0</v>
      </c>
      <c r="K35" s="16"/>
      <c r="L35" s="20">
        <f>+D35-H35</f>
        <v>3889.0899999999997</v>
      </c>
      <c r="M35" s="16"/>
      <c r="N35" s="21">
        <f>IF(H35=0,0,L35/H35)</f>
        <v>-1.0087724076394131</v>
      </c>
      <c r="O35" s="25"/>
      <c r="P35" s="20">
        <f>+P17-P19+P33</f>
        <v>33.82000000000005</v>
      </c>
      <c r="Q35" s="13"/>
      <c r="R35" s="21">
        <f>IF(P$12=0,0,P35/P$12)</f>
        <v>0</v>
      </c>
      <c r="S35" s="13"/>
      <c r="T35" s="20">
        <f>+T17-T19+T33</f>
        <v>-3855.2699999999995</v>
      </c>
      <c r="U35" s="13"/>
      <c r="V35" s="21">
        <f>IF(T$12=0,0,T35/T$12)</f>
        <v>0</v>
      </c>
      <c r="W35" s="16"/>
      <c r="X35" s="20">
        <f>+P35-T35</f>
        <v>3889.0899999999997</v>
      </c>
      <c r="Y35" s="16"/>
      <c r="Z35" s="21">
        <f>IF(T35=0,0,X35/T35)</f>
        <v>-1.0087724076394131</v>
      </c>
    </row>
    <row r="36" spans="1:26" x14ac:dyDescent="0.3">
      <c r="A36" s="9"/>
      <c r="B36" s="10"/>
      <c r="C36" s="9"/>
      <c r="D36" s="2"/>
      <c r="E36" s="2"/>
      <c r="F36" s="6"/>
      <c r="G36" s="2"/>
      <c r="H36" s="2"/>
      <c r="I36" s="2"/>
      <c r="J36" s="6"/>
      <c r="K36" s="2"/>
      <c r="L36" s="2"/>
      <c r="M36" s="2"/>
      <c r="N36" s="6"/>
      <c r="P36" s="2"/>
      <c r="Q36" s="2"/>
      <c r="R36" s="6"/>
      <c r="S36" s="2"/>
      <c r="T36" s="2"/>
      <c r="U36" s="2"/>
      <c r="V36" s="6"/>
      <c r="W36" s="2"/>
      <c r="X36" s="2"/>
      <c r="Y36" s="2"/>
      <c r="Z36" s="6"/>
    </row>
    <row r="37" spans="1:26" s="23" customFormat="1" x14ac:dyDescent="0.3">
      <c r="A37" s="51"/>
      <c r="B37" s="10" t="s">
        <v>127</v>
      </c>
      <c r="C37" s="10"/>
      <c r="D37" s="4"/>
      <c r="E37" s="4"/>
      <c r="F37" s="11">
        <f>IF(D$12=0,0,D37/D$12)</f>
        <v>0</v>
      </c>
      <c r="G37" s="4"/>
      <c r="H37" s="4"/>
      <c r="I37" s="4"/>
      <c r="J37" s="11">
        <f>IF(H$12=0,0,H37/H$12)</f>
        <v>0</v>
      </c>
      <c r="K37" s="4"/>
      <c r="L37" s="4">
        <f>+D37-H37</f>
        <v>0</v>
      </c>
      <c r="M37" s="4"/>
      <c r="N37" s="11">
        <f>IF(H37=0,0,L37/H37)</f>
        <v>0</v>
      </c>
      <c r="O37" s="10"/>
      <c r="P37" s="4"/>
      <c r="Q37" s="4"/>
      <c r="R37" s="11">
        <f>IF(P$12=0,0,P37/P$12)</f>
        <v>0</v>
      </c>
      <c r="S37" s="4"/>
      <c r="T37" s="4"/>
      <c r="U37" s="4"/>
      <c r="V37" s="11">
        <f>IF(T$12=0,0,T37/T$12)</f>
        <v>0</v>
      </c>
      <c r="W37" s="4"/>
      <c r="X37" s="4">
        <f>+P37-T37</f>
        <v>0</v>
      </c>
      <c r="Y37" s="4"/>
      <c r="Z37" s="11">
        <f>IF(T37=0,0,X37/T37)</f>
        <v>0</v>
      </c>
    </row>
    <row r="38" spans="1:26" x14ac:dyDescent="0.3">
      <c r="A38" s="9"/>
      <c r="B38" s="10"/>
      <c r="C38" s="10"/>
      <c r="D38" s="2"/>
      <c r="E38" s="2"/>
      <c r="F38" s="6"/>
      <c r="G38" s="2"/>
      <c r="H38" s="2"/>
      <c r="I38" s="2"/>
      <c r="J38" s="6"/>
      <c r="K38" s="2"/>
      <c r="L38" s="2"/>
      <c r="M38" s="2"/>
      <c r="N38" s="6"/>
      <c r="O38" s="10"/>
      <c r="P38" s="2"/>
      <c r="Q38" s="2"/>
      <c r="R38" s="6"/>
      <c r="S38" s="2"/>
      <c r="T38" s="2"/>
      <c r="U38" s="2"/>
      <c r="V38" s="6"/>
      <c r="W38" s="2"/>
      <c r="X38" s="2"/>
      <c r="Y38" s="2"/>
      <c r="Z38" s="6"/>
    </row>
    <row r="39" spans="1:26" s="23" customFormat="1" ht="15" thickBot="1" x14ac:dyDescent="0.35">
      <c r="A39" s="10"/>
      <c r="B39" s="26" t="s">
        <v>125</v>
      </c>
      <c r="C39" s="26"/>
      <c r="D39" s="36">
        <f>+D35-D37</f>
        <v>33.82000000000005</v>
      </c>
      <c r="E39" s="13"/>
      <c r="F39" s="34">
        <f>IF(D$12=0,0,D39/D$12)</f>
        <v>0</v>
      </c>
      <c r="G39" s="13"/>
      <c r="H39" s="36">
        <f>+H35-H37</f>
        <v>-3855.2699999999995</v>
      </c>
      <c r="I39" s="13"/>
      <c r="J39" s="34">
        <f>IF(H$12=0,0,H39/H$12)</f>
        <v>0</v>
      </c>
      <c r="K39" s="16"/>
      <c r="L39" s="36">
        <f>D39-H39</f>
        <v>3889.0899999999997</v>
      </c>
      <c r="M39" s="16"/>
      <c r="N39" s="34">
        <f>IF(H39=0,0,L39/H39)</f>
        <v>-1.0087724076394131</v>
      </c>
      <c r="O39" s="25"/>
      <c r="P39" s="36">
        <f>+P35-P37</f>
        <v>33.82000000000005</v>
      </c>
      <c r="Q39" s="13"/>
      <c r="R39" s="34">
        <f>IF(P$12=0,0,P39/P$12)</f>
        <v>0</v>
      </c>
      <c r="S39" s="13"/>
      <c r="T39" s="36">
        <f>+T35-T37</f>
        <v>-3855.2699999999995</v>
      </c>
      <c r="U39" s="13"/>
      <c r="V39" s="34">
        <f>IF(T$12=0,0,T39/T$12)</f>
        <v>0</v>
      </c>
      <c r="W39" s="16"/>
      <c r="X39" s="36">
        <f>P39-T39</f>
        <v>3889.0899999999997</v>
      </c>
      <c r="Y39" s="16"/>
      <c r="Z39" s="34">
        <f>IF(T39=0,0,X39/T39)</f>
        <v>-1.0087724076394131</v>
      </c>
    </row>
    <row r="40" spans="1:26" ht="15" thickTop="1" x14ac:dyDescent="0.3">
      <c r="A40" s="9"/>
      <c r="B40" s="9"/>
      <c r="C40" s="9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x14ac:dyDescent="0.3">
      <c r="A41" s="9"/>
      <c r="B41" s="9"/>
      <c r="C41" s="9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23" customFormat="1" ht="15" thickBot="1" x14ac:dyDescent="0.35">
      <c r="A42" s="10"/>
      <c r="B42" s="26" t="s">
        <v>293</v>
      </c>
      <c r="C42" s="26"/>
      <c r="D42" s="31">
        <f>SUM(D39:D41)</f>
        <v>33.82000000000005</v>
      </c>
      <c r="E42" s="13"/>
      <c r="F42" s="33">
        <f>IF(D$12=0,0,D42/D$12)</f>
        <v>0</v>
      </c>
      <c r="G42" s="13"/>
      <c r="H42" s="31">
        <f>SUM(H39:H41)</f>
        <v>-3855.2699999999995</v>
      </c>
      <c r="I42" s="13"/>
      <c r="J42" s="33">
        <f>IF(H$12=0,0,H42/H$12)</f>
        <v>0</v>
      </c>
      <c r="K42" s="16"/>
      <c r="L42" s="31">
        <f>+D42-H42</f>
        <v>3889.0899999999997</v>
      </c>
      <c r="M42" s="16"/>
      <c r="N42" s="33">
        <f>IF(H42=0,0,L42/H42)</f>
        <v>-1.0087724076394131</v>
      </c>
      <c r="O42" s="25"/>
      <c r="P42" s="31">
        <f>SUM(P39:P41)</f>
        <v>33.82000000000005</v>
      </c>
      <c r="Q42" s="13"/>
      <c r="R42" s="33">
        <f>IF(P$12=0,0,P42/P$12)</f>
        <v>0</v>
      </c>
      <c r="S42" s="13"/>
      <c r="T42" s="31">
        <f>SUM(T39:T41)</f>
        <v>-3855.2699999999995</v>
      </c>
      <c r="U42" s="13"/>
      <c r="V42" s="33">
        <f>IF(T$12=0,0,T42/T$12)</f>
        <v>0</v>
      </c>
      <c r="W42" s="16"/>
      <c r="X42" s="31">
        <f>+P42-T42</f>
        <v>3889.0899999999997</v>
      </c>
      <c r="Y42" s="16"/>
      <c r="Z42" s="33">
        <f>IF(T42=0,0,X42/T42)</f>
        <v>-1.0087724076394131</v>
      </c>
    </row>
    <row r="43" spans="1:26" ht="15" thickTop="1" x14ac:dyDescent="0.3">
      <c r="A43" s="9"/>
      <c r="C43" s="9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3">
      <c r="A44" s="9"/>
      <c r="B44" s="59">
        <v>44462.666945868055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3">
      <c r="A45" s="9"/>
      <c r="B45" s="57" t="s">
        <v>56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3">
      <c r="A46" s="9"/>
      <c r="B46" s="61"/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3"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","455", " - ", "Vending (old)")</f>
        <v>Department 455 - Vending (old)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53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5" t="s">
        <v>292</v>
      </c>
      <c r="C20" s="10"/>
      <c r="D20" s="4">
        <f>SUM(OSRRefD25x_0)</f>
        <v>1238.1199999999999</v>
      </c>
      <c r="E20" s="4"/>
      <c r="F20" s="11">
        <f t="shared" ref="F20:F22" si="0">IF(D$12=0,0,D20/D$12)</f>
        <v>0</v>
      </c>
      <c r="G20" s="4"/>
      <c r="H20" s="4">
        <f>SUM(OSRRefH25x_0)</f>
        <v>1564.13</v>
      </c>
      <c r="I20" s="4"/>
      <c r="J20" s="11">
        <f t="shared" ref="J20:J22" si="1">IF(H$12=0,0,H20/H$12)</f>
        <v>0</v>
      </c>
      <c r="K20" s="4"/>
      <c r="L20" s="4">
        <f t="shared" ref="L20:L22" si="2">+D20-H20</f>
        <v>-326.01000000000022</v>
      </c>
      <c r="M20" s="4"/>
      <c r="N20" s="11">
        <f t="shared" ref="N20:N22" si="3">IF(H20=0,0,L20/H20)</f>
        <v>-0.20842896690172824</v>
      </c>
      <c r="O20" s="10"/>
      <c r="P20" s="4">
        <f>SUM(OSRRefP25x_0)</f>
        <v>1238.1199999999999</v>
      </c>
      <c r="Q20" s="4"/>
      <c r="R20" s="11">
        <f t="shared" ref="R20:R22" si="4">IF(P$12=0,0,P20/P$12)</f>
        <v>0</v>
      </c>
      <c r="S20" s="4"/>
      <c r="T20" s="4">
        <f>SUM(OSRRefT25x_0)</f>
        <v>1564.13</v>
      </c>
      <c r="U20" s="4"/>
      <c r="V20" s="11">
        <f t="shared" ref="V20:V22" si="5">IF(T$12=0,0,T20/T$12)</f>
        <v>0</v>
      </c>
      <c r="W20" s="4"/>
      <c r="X20" s="4">
        <f t="shared" ref="X20:X22" si="6">+P20-T20</f>
        <v>-326.01000000000022</v>
      </c>
      <c r="Y20" s="4"/>
      <c r="Z20" s="11">
        <f t="shared" ref="Z20:Z22" si="7">IF(T20=0,0,X20/T20)</f>
        <v>-0.20842896690172824</v>
      </c>
    </row>
    <row r="21" spans="1:26" s="24" customFormat="1" hidden="1" outlineLevel="1" x14ac:dyDescent="0.3">
      <c r="A21" s="50"/>
      <c r="B21" s="12" t="str">
        <f>CONCATENATE("          ", "9160", " - ", "MISC. INCOME")</f>
        <v xml:space="preserve">          9160 - MISC. INCOME</v>
      </c>
      <c r="C21" s="12"/>
      <c r="D21" s="3">
        <f>--1238.12</f>
        <v>1238.1199999999999</v>
      </c>
      <c r="E21" s="3"/>
      <c r="F21" s="22">
        <f t="shared" si="0"/>
        <v>0</v>
      </c>
      <c r="G21" s="3"/>
      <c r="H21" s="3">
        <f>--1363.63</f>
        <v>1363.63</v>
      </c>
      <c r="I21" s="3"/>
      <c r="J21" s="22">
        <f t="shared" si="1"/>
        <v>0</v>
      </c>
      <c r="K21" s="3"/>
      <c r="L21" s="3">
        <f t="shared" si="2"/>
        <v>-125.51000000000022</v>
      </c>
      <c r="M21" s="3"/>
      <c r="N21" s="22">
        <f t="shared" si="3"/>
        <v>-9.2041096191782384E-2</v>
      </c>
      <c r="O21" s="12"/>
      <c r="P21" s="3">
        <f>--1238.12</f>
        <v>1238.1199999999999</v>
      </c>
      <c r="Q21" s="3"/>
      <c r="R21" s="22">
        <f t="shared" si="4"/>
        <v>0</v>
      </c>
      <c r="S21" s="3"/>
      <c r="T21" s="3">
        <f>--1363.63</f>
        <v>1363.63</v>
      </c>
      <c r="U21" s="3"/>
      <c r="V21" s="22">
        <f t="shared" si="5"/>
        <v>0</v>
      </c>
      <c r="W21" s="3"/>
      <c r="X21" s="3">
        <f t="shared" si="6"/>
        <v>-125.51000000000022</v>
      </c>
      <c r="Y21" s="3"/>
      <c r="Z21" s="22">
        <f t="shared" si="7"/>
        <v>-9.2041096191782384E-2</v>
      </c>
    </row>
    <row r="22" spans="1:26" s="24" customFormat="1" hidden="1" outlineLevel="1" x14ac:dyDescent="0.3">
      <c r="A22" s="50"/>
      <c r="B22" s="12" t="str">
        <f>CONCATENATE("          ", "9165", " - ", "OTHER INCOME")</f>
        <v xml:space="preserve">          9165 - OTHER INCOME</v>
      </c>
      <c r="C22" s="12"/>
      <c r="D22" s="3">
        <f>0</f>
        <v>0</v>
      </c>
      <c r="E22" s="3"/>
      <c r="F22" s="22">
        <f t="shared" si="0"/>
        <v>0</v>
      </c>
      <c r="G22" s="3"/>
      <c r="H22" s="3">
        <f>--200.5</f>
        <v>200.5</v>
      </c>
      <c r="I22" s="3"/>
      <c r="J22" s="22">
        <f t="shared" si="1"/>
        <v>0</v>
      </c>
      <c r="K22" s="3"/>
      <c r="L22" s="3">
        <f t="shared" si="2"/>
        <v>-200.5</v>
      </c>
      <c r="M22" s="3"/>
      <c r="N22" s="22">
        <f t="shared" si="3"/>
        <v>-1</v>
      </c>
      <c r="O22" s="12"/>
      <c r="P22" s="3">
        <f>0</f>
        <v>0</v>
      </c>
      <c r="Q22" s="3"/>
      <c r="R22" s="22">
        <f t="shared" si="4"/>
        <v>0</v>
      </c>
      <c r="S22" s="3"/>
      <c r="T22" s="3">
        <f>--200.5</f>
        <v>200.5</v>
      </c>
      <c r="U22" s="3"/>
      <c r="V22" s="22">
        <f t="shared" si="5"/>
        <v>0</v>
      </c>
      <c r="W22" s="3"/>
      <c r="X22" s="3">
        <f t="shared" si="6"/>
        <v>-200.5</v>
      </c>
      <c r="Y22" s="3"/>
      <c r="Z22" s="22">
        <f t="shared" si="7"/>
        <v>-1</v>
      </c>
    </row>
    <row r="23" spans="1:26" x14ac:dyDescent="0.3">
      <c r="A23" s="9"/>
      <c r="B23" s="10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10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10"/>
      <c r="B24" s="26" t="s">
        <v>276</v>
      </c>
      <c r="C24" s="26"/>
      <c r="D24" s="20">
        <f>+D16-D18+D20</f>
        <v>1238.1199999999999</v>
      </c>
      <c r="E24" s="13"/>
      <c r="F24" s="21">
        <f>IF(D$12=0,0,D24/D$12)</f>
        <v>0</v>
      </c>
      <c r="G24" s="13"/>
      <c r="H24" s="20">
        <f>+H16-H18+H20</f>
        <v>1564.13</v>
      </c>
      <c r="I24" s="13"/>
      <c r="J24" s="21">
        <f>IF(H$12=0,0,H24/H$12)</f>
        <v>0</v>
      </c>
      <c r="K24" s="16"/>
      <c r="L24" s="20">
        <f>+D24-H24</f>
        <v>-326.01000000000022</v>
      </c>
      <c r="M24" s="16"/>
      <c r="N24" s="21">
        <f>IF(H24=0,0,L24/H24)</f>
        <v>-0.20842896690172824</v>
      </c>
      <c r="O24" s="25"/>
      <c r="P24" s="20">
        <f>+P16-P18+P20</f>
        <v>1238.1199999999999</v>
      </c>
      <c r="Q24" s="13"/>
      <c r="R24" s="21">
        <f>IF(P$12=0,0,P24/P$12)</f>
        <v>0</v>
      </c>
      <c r="S24" s="13"/>
      <c r="T24" s="20">
        <f>+T16-T18+T20</f>
        <v>1564.13</v>
      </c>
      <c r="U24" s="13"/>
      <c r="V24" s="21">
        <f>IF(T$12=0,0,T24/T$12)</f>
        <v>0</v>
      </c>
      <c r="W24" s="16"/>
      <c r="X24" s="20">
        <f>+P24-T24</f>
        <v>-326.01000000000022</v>
      </c>
      <c r="Y24" s="16"/>
      <c r="Z24" s="21">
        <f>IF(T24=0,0,X24/T24)</f>
        <v>-0.20842896690172824</v>
      </c>
    </row>
    <row r="25" spans="1:26" x14ac:dyDescent="0.3">
      <c r="A25" s="9"/>
      <c r="B25" s="10"/>
      <c r="C25" s="9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3">
      <c r="A26" s="51"/>
      <c r="B26" s="10" t="s">
        <v>127</v>
      </c>
      <c r="C26" s="10"/>
      <c r="D26" s="4"/>
      <c r="E26" s="4"/>
      <c r="F26" s="11">
        <f>IF(D$12=0,0,D26/D$12)</f>
        <v>0</v>
      </c>
      <c r="G26" s="4"/>
      <c r="H26" s="4"/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/>
      <c r="Q26" s="4"/>
      <c r="R26" s="11">
        <f>IF(P$12=0,0,P26/P$12)</f>
        <v>0</v>
      </c>
      <c r="S26" s="4"/>
      <c r="T26" s="4"/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ht="15" thickBot="1" x14ac:dyDescent="0.35">
      <c r="A28" s="10"/>
      <c r="B28" s="26" t="s">
        <v>125</v>
      </c>
      <c r="C28" s="26"/>
      <c r="D28" s="36">
        <f>+D24-D26</f>
        <v>1238.1199999999999</v>
      </c>
      <c r="E28" s="13"/>
      <c r="F28" s="34">
        <f>IF(D$12=0,0,D28/D$12)</f>
        <v>0</v>
      </c>
      <c r="G28" s="13"/>
      <c r="H28" s="36">
        <f>+H24-H26</f>
        <v>1564.13</v>
      </c>
      <c r="I28" s="13"/>
      <c r="J28" s="34">
        <f>IF(H$12=0,0,H28/H$12)</f>
        <v>0</v>
      </c>
      <c r="K28" s="16"/>
      <c r="L28" s="36">
        <f>D28-H28</f>
        <v>-326.01000000000022</v>
      </c>
      <c r="M28" s="16"/>
      <c r="N28" s="34">
        <f>IF(H28=0,0,L28/H28)</f>
        <v>-0.20842896690172824</v>
      </c>
      <c r="O28" s="25"/>
      <c r="P28" s="36">
        <f>+P24-P26</f>
        <v>1238.1199999999999</v>
      </c>
      <c r="Q28" s="13"/>
      <c r="R28" s="34">
        <f>IF(P$12=0,0,P28/P$12)</f>
        <v>0</v>
      </c>
      <c r="S28" s="13"/>
      <c r="T28" s="36">
        <f>+T24-T26</f>
        <v>1564.13</v>
      </c>
      <c r="U28" s="13"/>
      <c r="V28" s="34">
        <f>IF(T$12=0,0,T28/T$12)</f>
        <v>0</v>
      </c>
      <c r="W28" s="16"/>
      <c r="X28" s="36">
        <f>P28-T28</f>
        <v>-326.01000000000022</v>
      </c>
      <c r="Y28" s="16"/>
      <c r="Z28" s="34">
        <f>IF(T28=0,0,X28/T28)</f>
        <v>-0.20842896690172824</v>
      </c>
    </row>
    <row r="29" spans="1:26" ht="15" thickTop="1" x14ac:dyDescent="0.3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293</v>
      </c>
      <c r="C31" s="26"/>
      <c r="D31" s="31">
        <f>SUM(D28:D30)</f>
        <v>1238.1199999999999</v>
      </c>
      <c r="E31" s="13"/>
      <c r="F31" s="33">
        <f>IF(D$12=0,0,D31/D$12)</f>
        <v>0</v>
      </c>
      <c r="G31" s="13"/>
      <c r="H31" s="31">
        <f>SUM(H28:H30)</f>
        <v>1564.13</v>
      </c>
      <c r="I31" s="13"/>
      <c r="J31" s="33">
        <f>IF(H$12=0,0,H31/H$12)</f>
        <v>0</v>
      </c>
      <c r="K31" s="16"/>
      <c r="L31" s="31">
        <f>+D31-H31</f>
        <v>-326.01000000000022</v>
      </c>
      <c r="M31" s="16"/>
      <c r="N31" s="33">
        <f>IF(H31=0,0,L31/H31)</f>
        <v>-0.20842896690172824</v>
      </c>
      <c r="O31" s="25"/>
      <c r="P31" s="31">
        <f>SUM(P28:P30)</f>
        <v>1238.1199999999999</v>
      </c>
      <c r="Q31" s="13"/>
      <c r="R31" s="33">
        <f>IF(P$12=0,0,P31/P$12)</f>
        <v>0</v>
      </c>
      <c r="S31" s="13"/>
      <c r="T31" s="31">
        <f>SUM(T28:T30)</f>
        <v>1564.13</v>
      </c>
      <c r="U31" s="13"/>
      <c r="V31" s="33">
        <f>IF(T$12=0,0,T31/T$12)</f>
        <v>0</v>
      </c>
      <c r="W31" s="16"/>
      <c r="X31" s="31">
        <f>+P31-T31</f>
        <v>-326.01000000000022</v>
      </c>
      <c r="Y31" s="16"/>
      <c r="Z31" s="33">
        <f>IF(T31=0,0,X31/T31)</f>
        <v>-0.20842896690172824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9">
        <v>44462.666945868055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7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87"/>
  <sheetViews>
    <sheetView tabSelected="1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182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22987.35</v>
      </c>
      <c r="E12" s="4"/>
      <c r="F12" s="11"/>
      <c r="G12" s="4"/>
      <c r="H12" s="4">
        <f>SUM(OSRRefH13x_0)</f>
        <v>19327.919999999998</v>
      </c>
      <c r="I12" s="4"/>
      <c r="J12" s="11"/>
      <c r="K12" s="4"/>
      <c r="L12" s="4">
        <f t="shared" ref="L12:L15" si="0">+D12-H12</f>
        <v>3659.4300000000003</v>
      </c>
      <c r="M12" s="4"/>
      <c r="N12" s="11">
        <f t="shared" ref="N12:N15" si="1">IF(H12=0,0,L12/H12)</f>
        <v>0.18933387555412071</v>
      </c>
      <c r="O12" s="10"/>
      <c r="P12" s="4">
        <f>SUM(OSRRefP13x_0)</f>
        <v>22987.35</v>
      </c>
      <c r="Q12" s="4"/>
      <c r="R12" s="11"/>
      <c r="S12" s="4"/>
      <c r="T12" s="4">
        <f>SUM(OSRRefT13x_0)</f>
        <v>19327.919999999998</v>
      </c>
      <c r="U12" s="4"/>
      <c r="V12" s="11"/>
      <c r="W12" s="4"/>
      <c r="X12" s="4">
        <f t="shared" ref="X12:X15" si="2">+P12-T12</f>
        <v>3659.4300000000003</v>
      </c>
      <c r="Y12" s="4"/>
      <c r="Z12" s="11">
        <f t="shared" ref="Z12:Z15" si="3">IF(T12=0,0,X12/T12)</f>
        <v>0.18933387555412071</v>
      </c>
    </row>
    <row r="13" spans="1:26" s="24" customFormat="1" hidden="1" outlineLevel="1" x14ac:dyDescent="0.3">
      <c r="A13" s="50"/>
      <c r="B13" s="12" t="str">
        <f>CONCATENATE("          ", "4053", " - ", "TAXABLE SALES-FOOD")</f>
        <v xml:space="preserve">          4053 - TAXABLE SALES-FOOD</v>
      </c>
      <c r="C13" s="12"/>
      <c r="D13" s="3">
        <f>--106.64</f>
        <v>106.64</v>
      </c>
      <c r="E13" s="3"/>
      <c r="F13" s="22"/>
      <c r="G13" s="3"/>
      <c r="H13" s="3">
        <f>--199.89</f>
        <v>199.89</v>
      </c>
      <c r="I13" s="3"/>
      <c r="J13" s="22"/>
      <c r="K13" s="3"/>
      <c r="L13" s="3">
        <f t="shared" si="0"/>
        <v>-93.249999999999986</v>
      </c>
      <c r="M13" s="3"/>
      <c r="N13" s="22">
        <f t="shared" si="1"/>
        <v>-0.46650657861824002</v>
      </c>
      <c r="O13" s="12"/>
      <c r="P13" s="3">
        <f>--106.64</f>
        <v>106.64</v>
      </c>
      <c r="Q13" s="3"/>
      <c r="R13" s="22"/>
      <c r="S13" s="3"/>
      <c r="T13" s="3">
        <f>--199.89</f>
        <v>199.89</v>
      </c>
      <c r="U13" s="3"/>
      <c r="V13" s="22"/>
      <c r="W13" s="3"/>
      <c r="X13" s="3">
        <f t="shared" si="2"/>
        <v>-93.249999999999986</v>
      </c>
      <c r="Y13" s="3"/>
      <c r="Z13" s="22">
        <f t="shared" si="3"/>
        <v>-0.46650657861824002</v>
      </c>
    </row>
    <row r="14" spans="1:26" s="24" customFormat="1" hidden="1" outlineLevel="1" x14ac:dyDescent="0.3">
      <c r="A14" s="50"/>
      <c r="B14" s="12" t="str">
        <f>CONCATENATE("          ", "4151", " - ", "NON-TAXABLE SALES-FOOD")</f>
        <v xml:space="preserve">          4151 - NON-TAXABLE SALES-FOOD</v>
      </c>
      <c r="C14" s="12"/>
      <c r="D14" s="3">
        <f>--19600</f>
        <v>19600</v>
      </c>
      <c r="E14" s="3"/>
      <c r="F14" s="22"/>
      <c r="G14" s="3"/>
      <c r="H14" s="3">
        <f>--1300</f>
        <v>1300</v>
      </c>
      <c r="I14" s="3"/>
      <c r="J14" s="22"/>
      <c r="K14" s="3"/>
      <c r="L14" s="3">
        <f t="shared" si="0"/>
        <v>18300</v>
      </c>
      <c r="M14" s="3"/>
      <c r="N14" s="22">
        <f t="shared" si="1"/>
        <v>14.076923076923077</v>
      </c>
      <c r="O14" s="12"/>
      <c r="P14" s="3">
        <f>--19600</f>
        <v>19600</v>
      </c>
      <c r="Q14" s="3"/>
      <c r="R14" s="22"/>
      <c r="S14" s="3"/>
      <c r="T14" s="3">
        <f>--1300</f>
        <v>1300</v>
      </c>
      <c r="U14" s="3"/>
      <c r="V14" s="22"/>
      <c r="W14" s="3"/>
      <c r="X14" s="3">
        <f t="shared" si="2"/>
        <v>18300</v>
      </c>
      <c r="Y14" s="3"/>
      <c r="Z14" s="22">
        <f t="shared" si="3"/>
        <v>14.076923076923077</v>
      </c>
    </row>
    <row r="15" spans="1:26" s="24" customFormat="1" hidden="1" outlineLevel="1" x14ac:dyDescent="0.3">
      <c r="A15" s="50"/>
      <c r="B15" s="12" t="str">
        <f>CONCATENATE("          ", "4153", " - ", "NON-TAXABLE SALES-FOOD")</f>
        <v xml:space="preserve">          4153 - NON-TAXABLE SALES-FOOD</v>
      </c>
      <c r="C15" s="12"/>
      <c r="D15" s="3">
        <f>--3280.71</f>
        <v>3280.71</v>
      </c>
      <c r="E15" s="3"/>
      <c r="F15" s="22"/>
      <c r="G15" s="3"/>
      <c r="H15" s="3">
        <f>--17828.03</f>
        <v>17828.03</v>
      </c>
      <c r="I15" s="3"/>
      <c r="J15" s="22"/>
      <c r="K15" s="3"/>
      <c r="L15" s="3">
        <f t="shared" si="0"/>
        <v>-14547.32</v>
      </c>
      <c r="M15" s="3"/>
      <c r="N15" s="22">
        <f t="shared" si="1"/>
        <v>-0.8159802288867587</v>
      </c>
      <c r="O15" s="12"/>
      <c r="P15" s="3">
        <f>--3280.71</f>
        <v>3280.71</v>
      </c>
      <c r="Q15" s="3"/>
      <c r="R15" s="22"/>
      <c r="S15" s="3"/>
      <c r="T15" s="3">
        <f>--17828.03</f>
        <v>17828.03</v>
      </c>
      <c r="U15" s="3"/>
      <c r="V15" s="22"/>
      <c r="W15" s="3"/>
      <c r="X15" s="3">
        <f t="shared" si="2"/>
        <v>-14547.32</v>
      </c>
      <c r="Y15" s="3"/>
      <c r="Z15" s="22">
        <f t="shared" si="3"/>
        <v>-0.8159802288867587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17128.84</v>
      </c>
      <c r="E17" s="4"/>
      <c r="F17" s="11">
        <f t="shared" ref="F17:F19" si="4">IF(D$12=0,0,D17/D$12)</f>
        <v>0.74514200201415126</v>
      </c>
      <c r="G17" s="4"/>
      <c r="H17" s="4">
        <f>SUM(OSRRefH16x_0)</f>
        <v>11689.62</v>
      </c>
      <c r="I17" s="4"/>
      <c r="J17" s="11">
        <f t="shared" ref="J17:J19" si="5">IF(H$12=0,0,H17/H$12)</f>
        <v>0.60480486260290822</v>
      </c>
      <c r="K17" s="4"/>
      <c r="L17" s="4">
        <f t="shared" ref="L17:L19" si="6">+D17-H17</f>
        <v>5439.2199999999993</v>
      </c>
      <c r="M17" s="4"/>
      <c r="N17" s="11">
        <f t="shared" ref="N17:N19" si="7">IF(H17=0,0,L17/H17)</f>
        <v>0.46530340592765196</v>
      </c>
      <c r="O17" s="10"/>
      <c r="P17" s="4">
        <f>SUM(OSRRefP16x_0)</f>
        <v>17128.84</v>
      </c>
      <c r="Q17" s="4"/>
      <c r="R17" s="11">
        <f t="shared" ref="R17:R19" si="8">IF(P$12=0,0,P17/P$12)</f>
        <v>0.74514200201415126</v>
      </c>
      <c r="S17" s="4"/>
      <c r="T17" s="4">
        <f>SUM(OSRRefT16x_0)</f>
        <v>11689.62</v>
      </c>
      <c r="U17" s="4"/>
      <c r="V17" s="11">
        <f t="shared" ref="V17:V19" si="9">IF(T$12=0,0,T17/T$12)</f>
        <v>0.60480486260290822</v>
      </c>
      <c r="W17" s="4"/>
      <c r="X17" s="4">
        <f t="shared" ref="X17:X19" si="10">+P17-T17</f>
        <v>5439.2199999999993</v>
      </c>
      <c r="Y17" s="4"/>
      <c r="Z17" s="11">
        <f t="shared" ref="Z17:Z19" si="11">IF(T17=0,0,X17/T17)</f>
        <v>0.46530340592765196</v>
      </c>
    </row>
    <row r="18" spans="1:26" s="24" customFormat="1" hidden="1" outlineLevel="1" x14ac:dyDescent="0.3">
      <c r="A18" s="50"/>
      <c r="B18" s="12" t="str">
        <f>CONCATENATE("          ", "5053", " - ", "PURCHASES @ COST-FOOD")</f>
        <v xml:space="preserve">          5053 - PURCHASES @ COST-FOOD</v>
      </c>
      <c r="C18" s="12"/>
      <c r="D18" s="3">
        <v>17968.84</v>
      </c>
      <c r="E18" s="3"/>
      <c r="F18" s="22">
        <f t="shared" si="4"/>
        <v>0.7816838391550136</v>
      </c>
      <c r="G18" s="3"/>
      <c r="H18" s="3">
        <v>8280.6200000000008</v>
      </c>
      <c r="I18" s="3"/>
      <c r="J18" s="22">
        <f t="shared" si="5"/>
        <v>0.42842789084391913</v>
      </c>
      <c r="K18" s="3"/>
      <c r="L18" s="3">
        <f t="shared" si="6"/>
        <v>9688.2199999999993</v>
      </c>
      <c r="M18" s="3"/>
      <c r="N18" s="22">
        <f t="shared" si="7"/>
        <v>1.1699872714845021</v>
      </c>
      <c r="O18" s="12"/>
      <c r="P18" s="3">
        <v>17968.84</v>
      </c>
      <c r="Q18" s="3"/>
      <c r="R18" s="22">
        <f t="shared" si="8"/>
        <v>0.7816838391550136</v>
      </c>
      <c r="S18" s="3"/>
      <c r="T18" s="3">
        <v>8280.6200000000008</v>
      </c>
      <c r="U18" s="3"/>
      <c r="V18" s="22">
        <f t="shared" si="9"/>
        <v>0.42842789084391913</v>
      </c>
      <c r="W18" s="3"/>
      <c r="X18" s="3">
        <f t="shared" si="10"/>
        <v>9688.2199999999993</v>
      </c>
      <c r="Y18" s="3"/>
      <c r="Z18" s="22">
        <f t="shared" si="11"/>
        <v>1.1699872714845021</v>
      </c>
    </row>
    <row r="19" spans="1:26" s="24" customFormat="1" hidden="1" outlineLevel="1" x14ac:dyDescent="0.3">
      <c r="A19" s="50"/>
      <c r="B19" s="12" t="str">
        <f>CONCATENATE("          ", "5059", " - ", "PURCHASES @ COST-FOOD")</f>
        <v xml:space="preserve">          5059 - PURCHASES @ COST-FOOD</v>
      </c>
      <c r="C19" s="12"/>
      <c r="D19" s="3">
        <v>-840</v>
      </c>
      <c r="E19" s="3"/>
      <c r="F19" s="22">
        <f t="shared" si="4"/>
        <v>-3.654183714086226E-2</v>
      </c>
      <c r="G19" s="3"/>
      <c r="H19" s="3">
        <v>3409</v>
      </c>
      <c r="I19" s="3"/>
      <c r="J19" s="22">
        <f t="shared" si="5"/>
        <v>0.17637697175898909</v>
      </c>
      <c r="K19" s="3"/>
      <c r="L19" s="3">
        <f t="shared" si="6"/>
        <v>-4249</v>
      </c>
      <c r="M19" s="3"/>
      <c r="N19" s="22">
        <f t="shared" si="7"/>
        <v>-1.2464065708418892</v>
      </c>
      <c r="O19" s="12"/>
      <c r="P19" s="3">
        <v>-840</v>
      </c>
      <c r="Q19" s="3"/>
      <c r="R19" s="22">
        <f t="shared" si="8"/>
        <v>-3.654183714086226E-2</v>
      </c>
      <c r="S19" s="3"/>
      <c r="T19" s="3">
        <v>3409</v>
      </c>
      <c r="U19" s="3"/>
      <c r="V19" s="22">
        <f t="shared" si="9"/>
        <v>0.17637697175898909</v>
      </c>
      <c r="W19" s="3"/>
      <c r="X19" s="3">
        <f t="shared" si="10"/>
        <v>-4249</v>
      </c>
      <c r="Y19" s="3"/>
      <c r="Z19" s="22">
        <f t="shared" si="11"/>
        <v>-1.2464065708418892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107</v>
      </c>
      <c r="C21" s="26"/>
      <c r="D21" s="20">
        <f>D12-D17</f>
        <v>5858.5099999999984</v>
      </c>
      <c r="E21" s="13"/>
      <c r="F21" s="21">
        <f>IF(D$12=0,0,D21/D$12)</f>
        <v>0.25485799798584868</v>
      </c>
      <c r="G21" s="13"/>
      <c r="H21" s="20">
        <f>H12-H17</f>
        <v>7638.2999999999975</v>
      </c>
      <c r="I21" s="13"/>
      <c r="J21" s="21">
        <f>IF(H$12=0,0,H21/H$12)</f>
        <v>0.39519513739709178</v>
      </c>
      <c r="K21" s="16"/>
      <c r="L21" s="20">
        <f>+D21-H21</f>
        <v>-1779.7899999999991</v>
      </c>
      <c r="M21" s="16"/>
      <c r="N21" s="21">
        <f>IF(H21=0,0,L21/H21)</f>
        <v>-0.23300865375803512</v>
      </c>
      <c r="O21" s="25"/>
      <c r="P21" s="20">
        <f>P12-P17</f>
        <v>5858.5099999999984</v>
      </c>
      <c r="Q21" s="13"/>
      <c r="R21" s="21">
        <f>IF(P$12=0,0,P21/P$12)</f>
        <v>0.25485799798584868</v>
      </c>
      <c r="S21" s="13"/>
      <c r="T21" s="20">
        <f>T12-T17</f>
        <v>7638.2999999999975</v>
      </c>
      <c r="U21" s="13"/>
      <c r="V21" s="21">
        <f>IF(T$12=0,0,T21/T$12)</f>
        <v>0.39519513739709178</v>
      </c>
      <c r="W21" s="16"/>
      <c r="X21" s="20">
        <f>+P21-T21</f>
        <v>-1779.7899999999991</v>
      </c>
      <c r="Y21" s="16"/>
      <c r="Z21" s="21">
        <f>IF(T21=0,0,X21/T21)</f>
        <v>-0.23300865375803512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19">
        <f>SUM(OSRRefD22x_0)</f>
        <v>194629.89000000007</v>
      </c>
      <c r="E23" s="19"/>
      <c r="F23" s="35">
        <f t="shared" ref="F23:F33" si="12">IF(D$12=0,0,D23/D$12)</f>
        <v>8.4668258846713549</v>
      </c>
      <c r="G23" s="19"/>
      <c r="H23" s="19">
        <f>SUM(OSRRefH22x_0)</f>
        <v>185970</v>
      </c>
      <c r="I23" s="19"/>
      <c r="J23" s="35">
        <f t="shared" ref="J23:J33" si="13">IF(H$12=0,0,H23/H$12)</f>
        <v>9.6218320440068048</v>
      </c>
      <c r="K23" s="4"/>
      <c r="L23" s="19">
        <f t="shared" ref="L23:L33" si="14">+D23-H23</f>
        <v>8659.8900000000722</v>
      </c>
      <c r="M23" s="4"/>
      <c r="N23" s="35">
        <f t="shared" ref="N23:N33" si="15">IF(H23=0,0,L23/H23)</f>
        <v>4.6566059041781321E-2</v>
      </c>
      <c r="O23" s="10"/>
      <c r="P23" s="19">
        <f>SUM(OSRRefP22x_0)</f>
        <v>194629.89000000007</v>
      </c>
      <c r="Q23" s="19"/>
      <c r="R23" s="35">
        <f t="shared" ref="R23:R33" si="16">IF(P$12=0,0,P23/P$12)</f>
        <v>8.4668258846713549</v>
      </c>
      <c r="S23" s="19"/>
      <c r="T23" s="19">
        <f>SUM(OSRRefT22x_0)</f>
        <v>185970</v>
      </c>
      <c r="U23" s="19"/>
      <c r="V23" s="35">
        <f t="shared" ref="V23:V33" si="17">IF(T$12=0,0,T23/T$12)</f>
        <v>9.6218320440068048</v>
      </c>
      <c r="W23" s="4"/>
      <c r="X23" s="19">
        <f t="shared" ref="X23:X33" si="18">+P23-T23</f>
        <v>8659.8900000000722</v>
      </c>
      <c r="Y23" s="4"/>
      <c r="Z23" s="35">
        <f t="shared" ref="Z23:Z33" si="19">IF(T23=0,0,X23/T23)</f>
        <v>4.6566059041781321E-2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67799.51999999999</v>
      </c>
      <c r="E24" s="1"/>
      <c r="F24" s="5">
        <f t="shared" si="12"/>
        <v>2.9494274024626583</v>
      </c>
      <c r="G24" s="1"/>
      <c r="H24" s="1">
        <f>SUM(OSRRefH22_0x_0)</f>
        <v>71541.810000000012</v>
      </c>
      <c r="I24" s="1"/>
      <c r="J24" s="5">
        <f t="shared" si="13"/>
        <v>3.7014748612370094</v>
      </c>
      <c r="K24" s="1"/>
      <c r="L24" s="1">
        <f t="shared" si="14"/>
        <v>-3742.2900000000227</v>
      </c>
      <c r="M24" s="1"/>
      <c r="N24" s="5">
        <f t="shared" si="15"/>
        <v>-5.230913224029448E-2</v>
      </c>
      <c r="O24" s="14"/>
      <c r="P24" s="1">
        <f>SUM(OSRRefP22_0x_0)</f>
        <v>67799.51999999999</v>
      </c>
      <c r="Q24" s="1"/>
      <c r="R24" s="5">
        <f t="shared" si="16"/>
        <v>2.9494274024626583</v>
      </c>
      <c r="S24" s="1"/>
      <c r="T24" s="1">
        <f>SUM(OSRRefT22_0x_0)</f>
        <v>71541.810000000012</v>
      </c>
      <c r="U24" s="1"/>
      <c r="V24" s="5">
        <f t="shared" si="17"/>
        <v>3.7014748612370094</v>
      </c>
      <c r="W24" s="1"/>
      <c r="X24" s="1">
        <f t="shared" si="18"/>
        <v>-3742.2900000000227</v>
      </c>
      <c r="Y24" s="1"/>
      <c r="Z24" s="5">
        <f t="shared" si="19"/>
        <v>-5.230913224029448E-2</v>
      </c>
    </row>
    <row r="25" spans="1:26" s="24" customFormat="1" hidden="1" outlineLevel="2" x14ac:dyDescent="0.3">
      <c r="A25" s="27"/>
      <c r="B25" s="12" t="str">
        <f>CONCATENATE("          ", "6111", " - ", "F.I.C.A.")</f>
        <v xml:space="preserve">          6111 - F.I.C.A.</v>
      </c>
      <c r="C25" s="12"/>
      <c r="D25" s="8">
        <v>6629.57</v>
      </c>
      <c r="E25" s="3"/>
      <c r="F25" s="7">
        <f t="shared" si="12"/>
        <v>0.28840079434993593</v>
      </c>
      <c r="G25" s="3"/>
      <c r="H25" s="8">
        <v>6400.51</v>
      </c>
      <c r="I25" s="3"/>
      <c r="J25" s="7">
        <f t="shared" si="13"/>
        <v>0.33115358507278592</v>
      </c>
      <c r="K25" s="3"/>
      <c r="L25" s="8">
        <f t="shared" si="14"/>
        <v>229.05999999999949</v>
      </c>
      <c r="M25" s="3"/>
      <c r="N25" s="7">
        <f t="shared" si="15"/>
        <v>3.5787773161826089E-2</v>
      </c>
      <c r="O25" s="12"/>
      <c r="P25" s="8">
        <v>6629.57</v>
      </c>
      <c r="Q25" s="3"/>
      <c r="R25" s="7">
        <f t="shared" si="16"/>
        <v>0.28840079434993593</v>
      </c>
      <c r="S25" s="3"/>
      <c r="T25" s="8">
        <v>6400.51</v>
      </c>
      <c r="U25" s="3"/>
      <c r="V25" s="7">
        <f t="shared" si="17"/>
        <v>0.33115358507278592</v>
      </c>
      <c r="W25" s="3"/>
      <c r="X25" s="8">
        <f t="shared" si="18"/>
        <v>229.05999999999949</v>
      </c>
      <c r="Y25" s="3"/>
      <c r="Z25" s="7">
        <f t="shared" si="19"/>
        <v>3.5787773161826089E-2</v>
      </c>
    </row>
    <row r="26" spans="1:26" s="24" customFormat="1" hidden="1" outlineLevel="2" x14ac:dyDescent="0.3">
      <c r="A26" s="27"/>
      <c r="B26" s="12" t="str">
        <f>CONCATENATE("          ", "6112", " - ", "COMPENSATION INSURANCE")</f>
        <v xml:space="preserve">          6112 - COMPENSATION INSURANCE</v>
      </c>
      <c r="C26" s="12"/>
      <c r="D26" s="8">
        <v>3112.97</v>
      </c>
      <c r="E26" s="3"/>
      <c r="F26" s="7">
        <f t="shared" si="12"/>
        <v>0.13542100329094045</v>
      </c>
      <c r="G26" s="3"/>
      <c r="H26" s="8">
        <v>3571.21</v>
      </c>
      <c r="I26" s="3"/>
      <c r="J26" s="7">
        <f t="shared" si="13"/>
        <v>0.18476949407903182</v>
      </c>
      <c r="K26" s="3"/>
      <c r="L26" s="8">
        <f t="shared" si="14"/>
        <v>-458.24000000000024</v>
      </c>
      <c r="M26" s="3"/>
      <c r="N26" s="7">
        <f t="shared" si="15"/>
        <v>-0.1283150528812364</v>
      </c>
      <c r="O26" s="12"/>
      <c r="P26" s="8">
        <v>3112.97</v>
      </c>
      <c r="Q26" s="3"/>
      <c r="R26" s="7">
        <f t="shared" si="16"/>
        <v>0.13542100329094045</v>
      </c>
      <c r="S26" s="3"/>
      <c r="T26" s="8">
        <v>3571.21</v>
      </c>
      <c r="U26" s="3"/>
      <c r="V26" s="7">
        <f t="shared" si="17"/>
        <v>0.18476949407903182</v>
      </c>
      <c r="W26" s="3"/>
      <c r="X26" s="8">
        <f t="shared" si="18"/>
        <v>-458.24000000000024</v>
      </c>
      <c r="Y26" s="3"/>
      <c r="Z26" s="7">
        <f t="shared" si="19"/>
        <v>-0.1283150528812364</v>
      </c>
    </row>
    <row r="27" spans="1:26" s="24" customFormat="1" hidden="1" outlineLevel="2" x14ac:dyDescent="0.3">
      <c r="A27" s="27"/>
      <c r="B27" s="12" t="str">
        <f>CONCATENATE("          ", "6113", " - ", "GROUP INSURANCE")</f>
        <v xml:space="preserve">          6113 - GROUP INSURANCE</v>
      </c>
      <c r="C27" s="12"/>
      <c r="D27" s="8">
        <v>40765.769999999997</v>
      </c>
      <c r="E27" s="3"/>
      <c r="F27" s="7">
        <f t="shared" si="12"/>
        <v>1.7734001526926766</v>
      </c>
      <c r="G27" s="3"/>
      <c r="H27" s="8">
        <v>41691.089999999997</v>
      </c>
      <c r="I27" s="3"/>
      <c r="J27" s="7">
        <f t="shared" si="13"/>
        <v>2.1570396607601854</v>
      </c>
      <c r="K27" s="3"/>
      <c r="L27" s="8">
        <f t="shared" si="14"/>
        <v>-925.31999999999971</v>
      </c>
      <c r="M27" s="3"/>
      <c r="N27" s="7">
        <f t="shared" si="15"/>
        <v>-2.2194670372014735E-2</v>
      </c>
      <c r="O27" s="12"/>
      <c r="P27" s="8">
        <v>40765.769999999997</v>
      </c>
      <c r="Q27" s="3"/>
      <c r="R27" s="7">
        <f t="shared" si="16"/>
        <v>1.7734001526926766</v>
      </c>
      <c r="S27" s="3"/>
      <c r="T27" s="8">
        <v>41691.089999999997</v>
      </c>
      <c r="U27" s="3"/>
      <c r="V27" s="7">
        <f t="shared" si="17"/>
        <v>2.1570396607601854</v>
      </c>
      <c r="W27" s="3"/>
      <c r="X27" s="8">
        <f t="shared" si="18"/>
        <v>-925.31999999999971</v>
      </c>
      <c r="Y27" s="3"/>
      <c r="Z27" s="7">
        <f t="shared" si="19"/>
        <v>-2.2194670372014735E-2</v>
      </c>
    </row>
    <row r="28" spans="1:26" s="24" customFormat="1" hidden="1" outlineLevel="2" x14ac:dyDescent="0.3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8">
        <v>224.82</v>
      </c>
      <c r="E28" s="3"/>
      <c r="F28" s="7">
        <f t="shared" si="12"/>
        <v>9.7801616976293491E-3</v>
      </c>
      <c r="G28" s="3"/>
      <c r="H28" s="8">
        <v>292.62</v>
      </c>
      <c r="I28" s="3"/>
      <c r="J28" s="7">
        <f t="shared" si="13"/>
        <v>1.5139756373163797E-2</v>
      </c>
      <c r="K28" s="3"/>
      <c r="L28" s="8">
        <f t="shared" si="14"/>
        <v>-67.800000000000011</v>
      </c>
      <c r="M28" s="3"/>
      <c r="N28" s="7">
        <f t="shared" si="15"/>
        <v>-0.231699815460324</v>
      </c>
      <c r="O28" s="12"/>
      <c r="P28" s="8">
        <v>224.82</v>
      </c>
      <c r="Q28" s="3"/>
      <c r="R28" s="7">
        <f t="shared" si="16"/>
        <v>9.7801616976293491E-3</v>
      </c>
      <c r="S28" s="3"/>
      <c r="T28" s="8">
        <v>292.62</v>
      </c>
      <c r="U28" s="3"/>
      <c r="V28" s="7">
        <f t="shared" si="17"/>
        <v>1.5139756373163797E-2</v>
      </c>
      <c r="W28" s="3"/>
      <c r="X28" s="8">
        <f t="shared" si="18"/>
        <v>-67.800000000000011</v>
      </c>
      <c r="Y28" s="3"/>
      <c r="Z28" s="7">
        <f t="shared" si="19"/>
        <v>-0.231699815460324</v>
      </c>
    </row>
    <row r="29" spans="1:26" s="24" customFormat="1" hidden="1" outlineLevel="2" x14ac:dyDescent="0.3">
      <c r="A29" s="27"/>
      <c r="B29" s="12" t="str">
        <f>CONCATENATE("          ", "6115", " - ", "P.E.R.S.")</f>
        <v xml:space="preserve">          6115 - P.E.R.S.</v>
      </c>
      <c r="C29" s="12"/>
      <c r="D29" s="8">
        <v>3537.53</v>
      </c>
      <c r="E29" s="3"/>
      <c r="F29" s="7">
        <f t="shared" si="12"/>
        <v>0.15389029183442199</v>
      </c>
      <c r="G29" s="3"/>
      <c r="H29" s="8">
        <v>5377.76</v>
      </c>
      <c r="I29" s="3"/>
      <c r="J29" s="7">
        <f t="shared" si="13"/>
        <v>0.27823790661385189</v>
      </c>
      <c r="K29" s="3"/>
      <c r="L29" s="8">
        <f t="shared" si="14"/>
        <v>-1840.23</v>
      </c>
      <c r="M29" s="3"/>
      <c r="N29" s="7">
        <f t="shared" si="15"/>
        <v>-0.34219266014102523</v>
      </c>
      <c r="O29" s="12"/>
      <c r="P29" s="8">
        <v>3537.53</v>
      </c>
      <c r="Q29" s="3"/>
      <c r="R29" s="7">
        <f t="shared" si="16"/>
        <v>0.15389029183442199</v>
      </c>
      <c r="S29" s="3"/>
      <c r="T29" s="8">
        <v>5377.76</v>
      </c>
      <c r="U29" s="3"/>
      <c r="V29" s="7">
        <f t="shared" si="17"/>
        <v>0.27823790661385189</v>
      </c>
      <c r="W29" s="3"/>
      <c r="X29" s="8">
        <f t="shared" si="18"/>
        <v>-1840.23</v>
      </c>
      <c r="Y29" s="3"/>
      <c r="Z29" s="7">
        <f t="shared" si="19"/>
        <v>-0.34219266014102523</v>
      </c>
    </row>
    <row r="30" spans="1:26" s="24" customFormat="1" hidden="1" outlineLevel="2" x14ac:dyDescent="0.3">
      <c r="A30" s="27"/>
      <c r="B30" s="12" t="str">
        <f>CONCATENATE("          ", "6117", " - ", "RETIREMENT STAFF HOURLY")</f>
        <v xml:space="preserve">          6117 - RETIREMENT STAFF HOURLY</v>
      </c>
      <c r="C30" s="12"/>
      <c r="D30" s="8">
        <v>1281.6400000000001</v>
      </c>
      <c r="E30" s="3"/>
      <c r="F30" s="7">
        <f t="shared" si="12"/>
        <v>5.5754143039541321E-2</v>
      </c>
      <c r="G30" s="3"/>
      <c r="H30" s="8">
        <v>1969.14</v>
      </c>
      <c r="I30" s="3"/>
      <c r="J30" s="7">
        <f t="shared" si="13"/>
        <v>0.10188059553226629</v>
      </c>
      <c r="K30" s="3"/>
      <c r="L30" s="8">
        <f t="shared" si="14"/>
        <v>-687.5</v>
      </c>
      <c r="M30" s="3"/>
      <c r="N30" s="7">
        <f t="shared" si="15"/>
        <v>-0.34913718679220368</v>
      </c>
      <c r="O30" s="12"/>
      <c r="P30" s="8">
        <v>1281.6400000000001</v>
      </c>
      <c r="Q30" s="3"/>
      <c r="R30" s="7">
        <f t="shared" si="16"/>
        <v>5.5754143039541321E-2</v>
      </c>
      <c r="S30" s="3"/>
      <c r="T30" s="8">
        <v>1969.14</v>
      </c>
      <c r="U30" s="3"/>
      <c r="V30" s="7">
        <f t="shared" si="17"/>
        <v>0.10188059553226629</v>
      </c>
      <c r="W30" s="3"/>
      <c r="X30" s="8">
        <f t="shared" si="18"/>
        <v>-687.5</v>
      </c>
      <c r="Y30" s="3"/>
      <c r="Z30" s="7">
        <f t="shared" si="19"/>
        <v>-0.34913718679220368</v>
      </c>
    </row>
    <row r="31" spans="1:26" s="24" customFormat="1" hidden="1" outlineLevel="2" x14ac:dyDescent="0.3">
      <c r="A31" s="27"/>
      <c r="B31" s="12" t="str">
        <f>CONCATENATE("          ", "6118", " - ", "VACATION")</f>
        <v xml:space="preserve">          6118 - VACATION</v>
      </c>
      <c r="C31" s="12"/>
      <c r="D31" s="8">
        <v>6030.08</v>
      </c>
      <c r="E31" s="3"/>
      <c r="F31" s="7">
        <f t="shared" si="12"/>
        <v>0.26232166822186986</v>
      </c>
      <c r="G31" s="3"/>
      <c r="H31" s="8">
        <v>5452.12</v>
      </c>
      <c r="I31" s="3"/>
      <c r="J31" s="7">
        <f t="shared" si="13"/>
        <v>0.28208519074996175</v>
      </c>
      <c r="K31" s="3"/>
      <c r="L31" s="8">
        <f t="shared" si="14"/>
        <v>577.96</v>
      </c>
      <c r="M31" s="3"/>
      <c r="N31" s="7">
        <f t="shared" si="15"/>
        <v>0.10600647087738349</v>
      </c>
      <c r="O31" s="12"/>
      <c r="P31" s="8">
        <v>6030.08</v>
      </c>
      <c r="Q31" s="3"/>
      <c r="R31" s="7">
        <f t="shared" si="16"/>
        <v>0.26232166822186986</v>
      </c>
      <c r="S31" s="3"/>
      <c r="T31" s="8">
        <v>5452.12</v>
      </c>
      <c r="U31" s="3"/>
      <c r="V31" s="7">
        <f t="shared" si="17"/>
        <v>0.28208519074996175</v>
      </c>
      <c r="W31" s="3"/>
      <c r="X31" s="8">
        <f t="shared" si="18"/>
        <v>577.96</v>
      </c>
      <c r="Y31" s="3"/>
      <c r="Z31" s="7">
        <f t="shared" si="19"/>
        <v>0.10600647087738349</v>
      </c>
    </row>
    <row r="32" spans="1:26" s="24" customFormat="1" hidden="1" outlineLevel="2" x14ac:dyDescent="0.3">
      <c r="A32" s="27"/>
      <c r="B32" s="12" t="str">
        <f>CONCATENATE("          ", "6119", " - ", "SICK LEAVE")</f>
        <v xml:space="preserve">          6119 - SICK LEAVE</v>
      </c>
      <c r="C32" s="12"/>
      <c r="D32" s="8">
        <v>3948.81</v>
      </c>
      <c r="E32" s="3"/>
      <c r="F32" s="7">
        <f t="shared" si="12"/>
        <v>0.1717818713335813</v>
      </c>
      <c r="G32" s="3"/>
      <c r="H32" s="8">
        <v>4078.56</v>
      </c>
      <c r="I32" s="3"/>
      <c r="J32" s="7">
        <f t="shared" si="13"/>
        <v>0.2110190853438963</v>
      </c>
      <c r="K32" s="3"/>
      <c r="L32" s="8">
        <f t="shared" si="14"/>
        <v>-129.75</v>
      </c>
      <c r="M32" s="3"/>
      <c r="N32" s="7">
        <f t="shared" si="15"/>
        <v>-3.1812698599505709E-2</v>
      </c>
      <c r="O32" s="12"/>
      <c r="P32" s="8">
        <v>3948.81</v>
      </c>
      <c r="Q32" s="3"/>
      <c r="R32" s="7">
        <f t="shared" si="16"/>
        <v>0.1717818713335813</v>
      </c>
      <c r="S32" s="3"/>
      <c r="T32" s="8">
        <v>4078.56</v>
      </c>
      <c r="U32" s="3"/>
      <c r="V32" s="7">
        <f t="shared" si="17"/>
        <v>0.2110190853438963</v>
      </c>
      <c r="W32" s="3"/>
      <c r="X32" s="8">
        <f t="shared" si="18"/>
        <v>-129.75</v>
      </c>
      <c r="Y32" s="3"/>
      <c r="Z32" s="7">
        <f t="shared" si="19"/>
        <v>-3.1812698599505709E-2</v>
      </c>
    </row>
    <row r="33" spans="1:26" s="24" customFormat="1" hidden="1" outlineLevel="2" x14ac:dyDescent="0.3">
      <c r="A33" s="27"/>
      <c r="B33" s="12" t="str">
        <f>CONCATENATE("          ", "6156", " - ", "EMPLOYEE MEALS")</f>
        <v xml:space="preserve">          6156 - EMPLOYEE MEALS</v>
      </c>
      <c r="C33" s="12"/>
      <c r="D33" s="8">
        <v>2268.33</v>
      </c>
      <c r="E33" s="3"/>
      <c r="F33" s="7">
        <f t="shared" si="12"/>
        <v>9.8677316002062004E-2</v>
      </c>
      <c r="G33" s="3"/>
      <c r="H33" s="8">
        <v>2708.8</v>
      </c>
      <c r="I33" s="3"/>
      <c r="J33" s="7">
        <f t="shared" si="13"/>
        <v>0.14014958671186556</v>
      </c>
      <c r="K33" s="3"/>
      <c r="L33" s="8">
        <f t="shared" si="14"/>
        <v>-440.47000000000025</v>
      </c>
      <c r="M33" s="3"/>
      <c r="N33" s="7">
        <f t="shared" si="15"/>
        <v>-0.16260705847607806</v>
      </c>
      <c r="O33" s="12"/>
      <c r="P33" s="8">
        <v>2268.33</v>
      </c>
      <c r="Q33" s="3"/>
      <c r="R33" s="7">
        <f t="shared" si="16"/>
        <v>9.8677316002062004E-2</v>
      </c>
      <c r="S33" s="3"/>
      <c r="T33" s="8">
        <v>2708.8</v>
      </c>
      <c r="U33" s="3"/>
      <c r="V33" s="7">
        <f t="shared" si="17"/>
        <v>0.14014958671186556</v>
      </c>
      <c r="W33" s="3"/>
      <c r="X33" s="8">
        <f t="shared" si="18"/>
        <v>-440.47000000000025</v>
      </c>
      <c r="Y33" s="3"/>
      <c r="Z33" s="7">
        <f t="shared" si="19"/>
        <v>-0.16260705847607806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100195.54000000001</v>
      </c>
      <c r="E34" s="1"/>
      <c r="F34" s="5">
        <f t="shared" ref="F34:F39" si="20">IF(D$12=0,0,D34/D$12)</f>
        <v>4.3587251249056553</v>
      </c>
      <c r="G34" s="1"/>
      <c r="H34" s="1">
        <f>SUM(OSRRefH22_1x_0)</f>
        <v>86997.56</v>
      </c>
      <c r="I34" s="1"/>
      <c r="J34" s="5">
        <f t="shared" ref="J34:J39" si="21">IF(H$12=0,0,H34/H$12)</f>
        <v>4.5011341106544318</v>
      </c>
      <c r="K34" s="1"/>
      <c r="L34" s="1">
        <f t="shared" ref="L34:L39" si="22">+D34-H34</f>
        <v>13197.98000000001</v>
      </c>
      <c r="M34" s="1"/>
      <c r="N34" s="5">
        <f t="shared" ref="N34:N39" si="23">IF(H34=0,0,L34/H34)</f>
        <v>0.15170517426005983</v>
      </c>
      <c r="O34" s="14"/>
      <c r="P34" s="1">
        <f>SUM(OSRRefP22_1x_0)</f>
        <v>100195.54000000001</v>
      </c>
      <c r="Q34" s="1"/>
      <c r="R34" s="5">
        <f t="shared" ref="R34:R39" si="24">IF(P$12=0,0,P34/P$12)</f>
        <v>4.3587251249056553</v>
      </c>
      <c r="S34" s="1"/>
      <c r="T34" s="1">
        <f>SUM(OSRRefT22_1x_0)</f>
        <v>86997.56</v>
      </c>
      <c r="U34" s="1"/>
      <c r="V34" s="5">
        <f t="shared" ref="V34:V39" si="25">IF(T$12=0,0,T34/T$12)</f>
        <v>4.5011341106544318</v>
      </c>
      <c r="W34" s="1"/>
      <c r="X34" s="1">
        <f t="shared" ref="X34:X39" si="26">+P34-T34</f>
        <v>13197.98000000001</v>
      </c>
      <c r="Y34" s="1"/>
      <c r="Z34" s="5">
        <f t="shared" ref="Z34:Z39" si="27">IF(T34=0,0,X34/T34)</f>
        <v>0.15170517426005983</v>
      </c>
    </row>
    <row r="35" spans="1:26" s="24" customFormat="1" hidden="1" outlineLevel="2" x14ac:dyDescent="0.3">
      <c r="A35" s="27"/>
      <c r="B35" s="12" t="str">
        <f>CONCATENATE("          ", "6001", " - ", "ADMINISTRATIVE SALARIES")</f>
        <v xml:space="preserve">          6001 - ADMINISTRATIVE SALARIES</v>
      </c>
      <c r="C35" s="12"/>
      <c r="D35" s="8">
        <v>11199.54</v>
      </c>
      <c r="E35" s="3"/>
      <c r="F35" s="7">
        <f t="shared" si="20"/>
        <v>0.48720448420544349</v>
      </c>
      <c r="G35" s="3"/>
      <c r="H35" s="8">
        <v>11199.54</v>
      </c>
      <c r="I35" s="3"/>
      <c r="J35" s="7">
        <f t="shared" si="21"/>
        <v>0.57944879738740651</v>
      </c>
      <c r="K35" s="3"/>
      <c r="L35" s="8">
        <f t="shared" si="22"/>
        <v>0</v>
      </c>
      <c r="M35" s="3"/>
      <c r="N35" s="7">
        <f t="shared" si="23"/>
        <v>0</v>
      </c>
      <c r="O35" s="12"/>
      <c r="P35" s="8">
        <v>11199.54</v>
      </c>
      <c r="Q35" s="3"/>
      <c r="R35" s="7">
        <f t="shared" si="24"/>
        <v>0.48720448420544349</v>
      </c>
      <c r="S35" s="3"/>
      <c r="T35" s="8">
        <v>11199.54</v>
      </c>
      <c r="U35" s="3"/>
      <c r="V35" s="7">
        <f t="shared" si="25"/>
        <v>0.57944879738740651</v>
      </c>
      <c r="W35" s="3"/>
      <c r="X35" s="8">
        <f t="shared" si="26"/>
        <v>0</v>
      </c>
      <c r="Y35" s="3"/>
      <c r="Z35" s="7">
        <f t="shared" si="27"/>
        <v>0</v>
      </c>
    </row>
    <row r="36" spans="1:26" s="24" customFormat="1" hidden="1" outlineLevel="2" x14ac:dyDescent="0.3">
      <c r="A36" s="27"/>
      <c r="B36" s="12" t="str">
        <f>CONCATENATE("          ", "6002", " - ", "STAFF SALARIES")</f>
        <v xml:space="preserve">          6002 - STAFF SALARIES</v>
      </c>
      <c r="C36" s="12"/>
      <c r="D36" s="8">
        <v>35123.440000000002</v>
      </c>
      <c r="E36" s="3"/>
      <c r="F36" s="7">
        <f t="shared" si="20"/>
        <v>1.5279464575081514</v>
      </c>
      <c r="G36" s="3"/>
      <c r="H36" s="8">
        <v>34236.54</v>
      </c>
      <c r="I36" s="3"/>
      <c r="J36" s="7">
        <f t="shared" si="21"/>
        <v>1.7713514956601644</v>
      </c>
      <c r="K36" s="3"/>
      <c r="L36" s="8">
        <f t="shared" si="22"/>
        <v>886.90000000000146</v>
      </c>
      <c r="M36" s="3"/>
      <c r="N36" s="7">
        <f t="shared" si="23"/>
        <v>2.5905071014769642E-2</v>
      </c>
      <c r="O36" s="12"/>
      <c r="P36" s="8">
        <v>35123.440000000002</v>
      </c>
      <c r="Q36" s="3"/>
      <c r="R36" s="7">
        <f t="shared" si="24"/>
        <v>1.5279464575081514</v>
      </c>
      <c r="S36" s="3"/>
      <c r="T36" s="8">
        <v>34236.54</v>
      </c>
      <c r="U36" s="3"/>
      <c r="V36" s="7">
        <f t="shared" si="25"/>
        <v>1.7713514956601644</v>
      </c>
      <c r="W36" s="3"/>
      <c r="X36" s="8">
        <f t="shared" si="26"/>
        <v>886.90000000000146</v>
      </c>
      <c r="Y36" s="3"/>
      <c r="Z36" s="7">
        <f t="shared" si="27"/>
        <v>2.5905071014769642E-2</v>
      </c>
    </row>
    <row r="37" spans="1:26" s="24" customFormat="1" hidden="1" outlineLevel="2" x14ac:dyDescent="0.3">
      <c r="A37" s="27"/>
      <c r="B37" s="12" t="str">
        <f>CONCATENATE("          ", "6004", " - ", "STAFF HOURLY")</f>
        <v xml:space="preserve">          6004 - STAFF HOURLY</v>
      </c>
      <c r="C37" s="12"/>
      <c r="D37" s="8">
        <v>38469.89</v>
      </c>
      <c r="E37" s="3"/>
      <c r="F37" s="7">
        <f t="shared" si="20"/>
        <v>1.6735243514367686</v>
      </c>
      <c r="G37" s="3"/>
      <c r="H37" s="8">
        <v>33160.480000000003</v>
      </c>
      <c r="I37" s="3"/>
      <c r="J37" s="7">
        <f t="shared" si="21"/>
        <v>1.7156776311160231</v>
      </c>
      <c r="K37" s="3"/>
      <c r="L37" s="8">
        <f t="shared" si="22"/>
        <v>5309.4099999999962</v>
      </c>
      <c r="M37" s="3"/>
      <c r="N37" s="7">
        <f t="shared" si="23"/>
        <v>0.16011257979377849</v>
      </c>
      <c r="O37" s="12"/>
      <c r="P37" s="8">
        <v>38469.89</v>
      </c>
      <c r="Q37" s="3"/>
      <c r="R37" s="7">
        <f t="shared" si="24"/>
        <v>1.6735243514367686</v>
      </c>
      <c r="S37" s="3"/>
      <c r="T37" s="8">
        <v>33160.480000000003</v>
      </c>
      <c r="U37" s="3"/>
      <c r="V37" s="7">
        <f t="shared" si="25"/>
        <v>1.7156776311160231</v>
      </c>
      <c r="W37" s="3"/>
      <c r="X37" s="8">
        <f t="shared" si="26"/>
        <v>5309.4099999999962</v>
      </c>
      <c r="Y37" s="3"/>
      <c r="Z37" s="7">
        <f t="shared" si="27"/>
        <v>0.16011257979377849</v>
      </c>
    </row>
    <row r="38" spans="1:26" s="24" customFormat="1" hidden="1" outlineLevel="2" x14ac:dyDescent="0.3">
      <c r="A38" s="27"/>
      <c r="B38" s="12" t="str">
        <f>CONCATENATE("          ", "6005", " - ", "TEMPORARY WAGES-HOURLY")</f>
        <v xml:space="preserve">          6005 - TEMPORARY WAGES-HOURLY</v>
      </c>
      <c r="C38" s="12"/>
      <c r="D38" s="8">
        <v>4625.88</v>
      </c>
      <c r="E38" s="3"/>
      <c r="F38" s="7">
        <f t="shared" si="20"/>
        <v>0.20123589713472848</v>
      </c>
      <c r="G38" s="3"/>
      <c r="H38" s="8"/>
      <c r="I38" s="3"/>
      <c r="J38" s="7">
        <f t="shared" si="21"/>
        <v>0</v>
      </c>
      <c r="K38" s="3"/>
      <c r="L38" s="8">
        <f t="shared" si="22"/>
        <v>4625.88</v>
      </c>
      <c r="M38" s="3"/>
      <c r="N38" s="7">
        <f t="shared" si="23"/>
        <v>0</v>
      </c>
      <c r="O38" s="12"/>
      <c r="P38" s="8">
        <v>4625.88</v>
      </c>
      <c r="Q38" s="3"/>
      <c r="R38" s="7">
        <f t="shared" si="24"/>
        <v>0.20123589713472848</v>
      </c>
      <c r="S38" s="3"/>
      <c r="T38" s="8"/>
      <c r="U38" s="3"/>
      <c r="V38" s="7">
        <f t="shared" si="25"/>
        <v>0</v>
      </c>
      <c r="W38" s="3"/>
      <c r="X38" s="8">
        <f t="shared" si="26"/>
        <v>4625.88</v>
      </c>
      <c r="Y38" s="3"/>
      <c r="Z38" s="7">
        <f t="shared" si="27"/>
        <v>0</v>
      </c>
    </row>
    <row r="39" spans="1:26" s="24" customFormat="1" hidden="1" outlineLevel="2" x14ac:dyDescent="0.3">
      <c r="A39" s="27"/>
      <c r="B39" s="12" t="str">
        <f>CONCATENATE("          ", "6007", " - ", "STUDENT HOURLY")</f>
        <v xml:space="preserve">          6007 - STUDENT HOURLY</v>
      </c>
      <c r="C39" s="12"/>
      <c r="D39" s="8">
        <v>10776.79</v>
      </c>
      <c r="E39" s="3"/>
      <c r="F39" s="7">
        <f t="shared" si="20"/>
        <v>0.46881393462056314</v>
      </c>
      <c r="G39" s="3"/>
      <c r="H39" s="8">
        <v>8401</v>
      </c>
      <c r="I39" s="3"/>
      <c r="J39" s="7">
        <f t="shared" si="21"/>
        <v>0.43465618649083815</v>
      </c>
      <c r="K39" s="3"/>
      <c r="L39" s="8">
        <f t="shared" si="22"/>
        <v>2375.7900000000009</v>
      </c>
      <c r="M39" s="3"/>
      <c r="N39" s="7">
        <f t="shared" si="23"/>
        <v>0.28279847637186062</v>
      </c>
      <c r="O39" s="12"/>
      <c r="P39" s="8">
        <v>10776.79</v>
      </c>
      <c r="Q39" s="3"/>
      <c r="R39" s="7">
        <f t="shared" si="24"/>
        <v>0.46881393462056314</v>
      </c>
      <c r="S39" s="3"/>
      <c r="T39" s="8">
        <v>8401</v>
      </c>
      <c r="U39" s="3"/>
      <c r="V39" s="7">
        <f t="shared" si="25"/>
        <v>0.43465618649083815</v>
      </c>
      <c r="W39" s="3"/>
      <c r="X39" s="8">
        <f t="shared" si="26"/>
        <v>2375.7900000000009</v>
      </c>
      <c r="Y39" s="3"/>
      <c r="Z39" s="7">
        <f t="shared" si="27"/>
        <v>0.28279847637186062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120.94</v>
      </c>
      <c r="E40" s="1"/>
      <c r="F40" s="5">
        <f t="shared" ref="F40:F59" si="28">IF(D$12=0,0,D40/D$12)</f>
        <v>5.2611545045427163E-3</v>
      </c>
      <c r="G40" s="1"/>
      <c r="H40" s="1">
        <f>SUM(OSRRefH22_2x_0)</f>
        <v>724.49</v>
      </c>
      <c r="I40" s="1"/>
      <c r="J40" s="5">
        <f t="shared" ref="J40:J59" si="29">IF(H$12=0,0,H40/H$12)</f>
        <v>3.7484116242202992E-2</v>
      </c>
      <c r="K40" s="1"/>
      <c r="L40" s="1">
        <f t="shared" ref="L40:L59" si="30">+D40-H40</f>
        <v>-603.54999999999995</v>
      </c>
      <c r="M40" s="1"/>
      <c r="N40" s="5">
        <f t="shared" ref="N40:N59" si="31">IF(H40=0,0,L40/H40)</f>
        <v>-0.83306877941724511</v>
      </c>
      <c r="O40" s="14"/>
      <c r="P40" s="1">
        <f>SUM(OSRRefP22_2x_0)</f>
        <v>120.94</v>
      </c>
      <c r="Q40" s="1"/>
      <c r="R40" s="5">
        <f t="shared" ref="R40:R59" si="32">IF(P$12=0,0,P40/P$12)</f>
        <v>5.2611545045427163E-3</v>
      </c>
      <c r="S40" s="1"/>
      <c r="T40" s="1">
        <f>SUM(OSRRefT22_2x_0)</f>
        <v>724.49</v>
      </c>
      <c r="U40" s="1"/>
      <c r="V40" s="5">
        <f t="shared" ref="V40:V59" si="33">IF(T$12=0,0,T40/T$12)</f>
        <v>3.7484116242202992E-2</v>
      </c>
      <c r="W40" s="1"/>
      <c r="X40" s="1">
        <f t="shared" ref="X40:X59" si="34">+P40-T40</f>
        <v>-603.54999999999995</v>
      </c>
      <c r="Y40" s="1"/>
      <c r="Z40" s="5">
        <f t="shared" ref="Z40:Z59" si="35">IF(T40=0,0,X40/T40)</f>
        <v>-0.83306877941724511</v>
      </c>
    </row>
    <row r="41" spans="1:26" s="24" customFormat="1" hidden="1" outlineLevel="2" x14ac:dyDescent="0.3">
      <c r="A41" s="27"/>
      <c r="B41" s="12" t="str">
        <f>CONCATENATE("          ", "6362", " - ", "ADVERTISING EXPENSE")</f>
        <v xml:space="preserve">          6362 - ADVERTISING EXPENSE</v>
      </c>
      <c r="C41" s="12"/>
      <c r="D41" s="8">
        <v>120.94</v>
      </c>
      <c r="E41" s="3"/>
      <c r="F41" s="7">
        <f t="shared" si="28"/>
        <v>5.2611545045427163E-3</v>
      </c>
      <c r="G41" s="3"/>
      <c r="H41" s="8">
        <v>724.49</v>
      </c>
      <c r="I41" s="3"/>
      <c r="J41" s="7">
        <f t="shared" si="29"/>
        <v>3.7484116242202992E-2</v>
      </c>
      <c r="K41" s="3"/>
      <c r="L41" s="8">
        <f t="shared" si="30"/>
        <v>-603.54999999999995</v>
      </c>
      <c r="M41" s="3"/>
      <c r="N41" s="7">
        <f t="shared" si="31"/>
        <v>-0.83306877941724511</v>
      </c>
      <c r="O41" s="12"/>
      <c r="P41" s="8">
        <v>120.94</v>
      </c>
      <c r="Q41" s="3"/>
      <c r="R41" s="7">
        <f t="shared" si="32"/>
        <v>5.2611545045427163E-3</v>
      </c>
      <c r="S41" s="3"/>
      <c r="T41" s="8">
        <v>724.49</v>
      </c>
      <c r="U41" s="3"/>
      <c r="V41" s="7">
        <f t="shared" si="33"/>
        <v>3.7484116242202992E-2</v>
      </c>
      <c r="W41" s="3"/>
      <c r="X41" s="8">
        <f t="shared" si="34"/>
        <v>-603.54999999999995</v>
      </c>
      <c r="Y41" s="3"/>
      <c r="Z41" s="7">
        <f t="shared" si="35"/>
        <v>-0.83306877941724511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0</v>
      </c>
      <c r="U42" s="1"/>
      <c r="V42" s="5">
        <f t="shared" si="33"/>
        <v>0</v>
      </c>
      <c r="W42" s="1"/>
      <c r="X42" s="1">
        <f t="shared" si="34"/>
        <v>0</v>
      </c>
      <c r="Y42" s="1"/>
      <c r="Z42" s="5">
        <f t="shared" si="35"/>
        <v>0</v>
      </c>
    </row>
    <row r="43" spans="1:26" s="24" customFormat="1" hidden="1" outlineLevel="2" x14ac:dyDescent="0.3">
      <c r="A43" s="27"/>
      <c r="B43" s="12" t="str">
        <f>CONCATENATE("          ", "6272", " - ", "CASH (OVER/SHORT)")</f>
        <v xml:space="preserve">          6272 - CASH (OVER/SHORT)</v>
      </c>
      <c r="C43" s="12"/>
      <c r="D43" s="8"/>
      <c r="E43" s="3"/>
      <c r="F43" s="7">
        <f t="shared" si="28"/>
        <v>0</v>
      </c>
      <c r="G43" s="3"/>
      <c r="H43" s="8">
        <v>0</v>
      </c>
      <c r="I43" s="3"/>
      <c r="J43" s="7">
        <f t="shared" si="29"/>
        <v>0</v>
      </c>
      <c r="K43" s="3"/>
      <c r="L43" s="8">
        <f t="shared" si="30"/>
        <v>0</v>
      </c>
      <c r="M43" s="3"/>
      <c r="N43" s="7">
        <f t="shared" si="31"/>
        <v>0</v>
      </c>
      <c r="O43" s="12"/>
      <c r="P43" s="8"/>
      <c r="Q43" s="3"/>
      <c r="R43" s="7">
        <f t="shared" si="32"/>
        <v>0</v>
      </c>
      <c r="S43" s="3"/>
      <c r="T43" s="8">
        <v>0</v>
      </c>
      <c r="U43" s="3"/>
      <c r="V43" s="7">
        <f t="shared" si="33"/>
        <v>0</v>
      </c>
      <c r="W43" s="3"/>
      <c r="X43" s="8">
        <f t="shared" si="34"/>
        <v>0</v>
      </c>
      <c r="Y43" s="3"/>
      <c r="Z43" s="7">
        <f t="shared" si="35"/>
        <v>0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77.05</v>
      </c>
      <c r="E44" s="1"/>
      <c r="F44" s="5">
        <f t="shared" si="28"/>
        <v>3.3518435139326631E-3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77.05</v>
      </c>
      <c r="M44" s="1"/>
      <c r="N44" s="5">
        <f t="shared" si="31"/>
        <v>0</v>
      </c>
      <c r="O44" s="14"/>
      <c r="P44" s="1">
        <f>SUM(OSRRefP22_4x_0)</f>
        <v>77.05</v>
      </c>
      <c r="Q44" s="1"/>
      <c r="R44" s="5">
        <f t="shared" si="32"/>
        <v>3.3518435139326631E-3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77.05</v>
      </c>
      <c r="Y44" s="1"/>
      <c r="Z44" s="5">
        <f t="shared" si="35"/>
        <v>0</v>
      </c>
    </row>
    <row r="45" spans="1:26" s="24" customFormat="1" hidden="1" outlineLevel="2" x14ac:dyDescent="0.3">
      <c r="A45" s="27"/>
      <c r="B45" s="12" t="str">
        <f>CONCATENATE("          ", "6381", " - ", "BANK/CREDIT CARD FEES")</f>
        <v xml:space="preserve">          6381 - BANK/CREDIT CARD FEES</v>
      </c>
      <c r="C45" s="12"/>
      <c r="D45" s="8">
        <v>77.05</v>
      </c>
      <c r="E45" s="3"/>
      <c r="F45" s="7">
        <f t="shared" si="28"/>
        <v>3.3518435139326631E-3</v>
      </c>
      <c r="G45" s="3"/>
      <c r="H45" s="8"/>
      <c r="I45" s="3"/>
      <c r="J45" s="7">
        <f t="shared" si="29"/>
        <v>0</v>
      </c>
      <c r="K45" s="3"/>
      <c r="L45" s="8">
        <f t="shared" si="30"/>
        <v>77.05</v>
      </c>
      <c r="M45" s="3"/>
      <c r="N45" s="7">
        <f t="shared" si="31"/>
        <v>0</v>
      </c>
      <c r="O45" s="12"/>
      <c r="P45" s="8">
        <v>77.05</v>
      </c>
      <c r="Q45" s="3"/>
      <c r="R45" s="7">
        <f t="shared" si="32"/>
        <v>3.3518435139326631E-3</v>
      </c>
      <c r="S45" s="3"/>
      <c r="T45" s="8"/>
      <c r="U45" s="3"/>
      <c r="V45" s="7">
        <f t="shared" si="33"/>
        <v>0</v>
      </c>
      <c r="W45" s="3"/>
      <c r="X45" s="8">
        <f t="shared" si="34"/>
        <v>77.05</v>
      </c>
      <c r="Y45" s="3"/>
      <c r="Z45" s="7">
        <f t="shared" si="35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760.04</v>
      </c>
      <c r="E46" s="1"/>
      <c r="F46" s="5">
        <f t="shared" si="28"/>
        <v>3.3063402262548752E-2</v>
      </c>
      <c r="G46" s="1"/>
      <c r="H46" s="1">
        <f>SUM(OSRRefH22_5x_0)</f>
        <v>213.02</v>
      </c>
      <c r="I46" s="1"/>
      <c r="J46" s="5">
        <f t="shared" si="29"/>
        <v>1.1021361843385116E-2</v>
      </c>
      <c r="K46" s="1"/>
      <c r="L46" s="1">
        <f t="shared" si="30"/>
        <v>547.02</v>
      </c>
      <c r="M46" s="1"/>
      <c r="N46" s="5">
        <f t="shared" si="31"/>
        <v>2.567927894094451</v>
      </c>
      <c r="O46" s="14"/>
      <c r="P46" s="1">
        <f>SUM(OSRRefP22_5x_0)</f>
        <v>760.04</v>
      </c>
      <c r="Q46" s="1"/>
      <c r="R46" s="5">
        <f t="shared" si="32"/>
        <v>3.3063402262548752E-2</v>
      </c>
      <c r="S46" s="1"/>
      <c r="T46" s="1">
        <f>SUM(OSRRefT22_5x_0)</f>
        <v>213.02</v>
      </c>
      <c r="U46" s="1"/>
      <c r="V46" s="5">
        <f t="shared" si="33"/>
        <v>1.1021361843385116E-2</v>
      </c>
      <c r="W46" s="1"/>
      <c r="X46" s="1">
        <f t="shared" si="34"/>
        <v>547.02</v>
      </c>
      <c r="Y46" s="1"/>
      <c r="Z46" s="5">
        <f t="shared" si="35"/>
        <v>2.567927894094451</v>
      </c>
    </row>
    <row r="47" spans="1:26" s="24" customFormat="1" hidden="1" outlineLevel="2" x14ac:dyDescent="0.3">
      <c r="A47" s="27"/>
      <c r="B47" s="12" t="str">
        <f>CONCATENATE("          ", "6322", " - ", "EQUIPMENT DEPRECIATION EXPENSE")</f>
        <v xml:space="preserve">          6322 - EQUIPMENT DEPRECIATION EXPENSE</v>
      </c>
      <c r="C47" s="12"/>
      <c r="D47" s="8">
        <v>760.04</v>
      </c>
      <c r="E47" s="3"/>
      <c r="F47" s="7">
        <f t="shared" si="28"/>
        <v>3.3063402262548752E-2</v>
      </c>
      <c r="G47" s="3"/>
      <c r="H47" s="8">
        <v>213.02</v>
      </c>
      <c r="I47" s="3"/>
      <c r="J47" s="7">
        <f t="shared" si="29"/>
        <v>1.1021361843385116E-2</v>
      </c>
      <c r="K47" s="3"/>
      <c r="L47" s="8">
        <f t="shared" si="30"/>
        <v>547.02</v>
      </c>
      <c r="M47" s="3"/>
      <c r="N47" s="7">
        <f t="shared" si="31"/>
        <v>2.567927894094451</v>
      </c>
      <c r="O47" s="12"/>
      <c r="P47" s="8">
        <v>760.04</v>
      </c>
      <c r="Q47" s="3"/>
      <c r="R47" s="7">
        <f t="shared" si="32"/>
        <v>3.3063402262548752E-2</v>
      </c>
      <c r="S47" s="3"/>
      <c r="T47" s="8">
        <v>213.02</v>
      </c>
      <c r="U47" s="3"/>
      <c r="V47" s="7">
        <f t="shared" si="33"/>
        <v>1.1021361843385116E-2</v>
      </c>
      <c r="W47" s="3"/>
      <c r="X47" s="8">
        <f t="shared" si="34"/>
        <v>547.02</v>
      </c>
      <c r="Y47" s="3"/>
      <c r="Z47" s="7">
        <f t="shared" si="35"/>
        <v>2.567927894094451</v>
      </c>
    </row>
    <row r="48" spans="1:26" s="29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857.53</v>
      </c>
      <c r="E48" s="1"/>
      <c r="F48" s="5">
        <f t="shared" si="28"/>
        <v>3.7304430480242394E-2</v>
      </c>
      <c r="G48" s="1"/>
      <c r="H48" s="1">
        <f>SUM(OSRRefH22_6x_0)</f>
        <v>381.55</v>
      </c>
      <c r="I48" s="1"/>
      <c r="J48" s="5">
        <f t="shared" si="29"/>
        <v>1.9740872271822321E-2</v>
      </c>
      <c r="K48" s="1"/>
      <c r="L48" s="1">
        <f t="shared" si="30"/>
        <v>475.97999999999996</v>
      </c>
      <c r="M48" s="1"/>
      <c r="N48" s="5">
        <f t="shared" si="31"/>
        <v>1.2474904992792555</v>
      </c>
      <c r="O48" s="14"/>
      <c r="P48" s="1">
        <f>SUM(OSRRefP22_6x_0)</f>
        <v>857.53</v>
      </c>
      <c r="Q48" s="1"/>
      <c r="R48" s="5">
        <f t="shared" si="32"/>
        <v>3.7304430480242394E-2</v>
      </c>
      <c r="S48" s="1"/>
      <c r="T48" s="1">
        <f>SUM(OSRRefT22_6x_0)</f>
        <v>381.55</v>
      </c>
      <c r="U48" s="1"/>
      <c r="V48" s="5">
        <f t="shared" si="33"/>
        <v>1.9740872271822321E-2</v>
      </c>
      <c r="W48" s="1"/>
      <c r="X48" s="1">
        <f t="shared" si="34"/>
        <v>475.97999999999996</v>
      </c>
      <c r="Y48" s="1"/>
      <c r="Z48" s="5">
        <f t="shared" si="35"/>
        <v>1.2474904992792555</v>
      </c>
    </row>
    <row r="49" spans="1:26" s="24" customFormat="1" hidden="1" outlineLevel="2" x14ac:dyDescent="0.3">
      <c r="A49" s="27"/>
      <c r="B49" s="12" t="str">
        <f>CONCATENATE("          ", "6351", " - ", "EQUIPMENT RENTAL")</f>
        <v xml:space="preserve">          6351 - EQUIPMENT RENTAL</v>
      </c>
      <c r="C49" s="12"/>
      <c r="D49" s="8">
        <v>857.53</v>
      </c>
      <c r="E49" s="3"/>
      <c r="F49" s="7">
        <f t="shared" si="28"/>
        <v>3.7304430480242394E-2</v>
      </c>
      <c r="G49" s="3"/>
      <c r="H49" s="8">
        <v>381.55</v>
      </c>
      <c r="I49" s="3"/>
      <c r="J49" s="7">
        <f t="shared" si="29"/>
        <v>1.9740872271822321E-2</v>
      </c>
      <c r="K49" s="3"/>
      <c r="L49" s="8">
        <f t="shared" si="30"/>
        <v>475.97999999999996</v>
      </c>
      <c r="M49" s="3"/>
      <c r="N49" s="7">
        <f t="shared" si="31"/>
        <v>1.2474904992792555</v>
      </c>
      <c r="O49" s="12"/>
      <c r="P49" s="8">
        <v>857.53</v>
      </c>
      <c r="Q49" s="3"/>
      <c r="R49" s="7">
        <f t="shared" si="32"/>
        <v>3.7304430480242394E-2</v>
      </c>
      <c r="S49" s="3"/>
      <c r="T49" s="8">
        <v>381.55</v>
      </c>
      <c r="U49" s="3"/>
      <c r="V49" s="7">
        <f t="shared" si="33"/>
        <v>1.9740872271822321E-2</v>
      </c>
      <c r="W49" s="3"/>
      <c r="X49" s="8">
        <f t="shared" si="34"/>
        <v>475.97999999999996</v>
      </c>
      <c r="Y49" s="3"/>
      <c r="Z49" s="7">
        <f t="shared" si="35"/>
        <v>1.2474904992792555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SUM(OSRRefD22_7x_0)</f>
        <v>328.45</v>
      </c>
      <c r="E50" s="1"/>
      <c r="F50" s="5">
        <f t="shared" si="28"/>
        <v>1.4288293343947867E-2</v>
      </c>
      <c r="G50" s="1"/>
      <c r="H50" s="1">
        <f>SUM(OSRRefH22_7x_0)</f>
        <v>6298.65</v>
      </c>
      <c r="I50" s="1"/>
      <c r="J50" s="5">
        <f t="shared" si="29"/>
        <v>0.32588348875616208</v>
      </c>
      <c r="K50" s="1"/>
      <c r="L50" s="1">
        <f t="shared" si="30"/>
        <v>-5970.2</v>
      </c>
      <c r="M50" s="1"/>
      <c r="N50" s="5">
        <f t="shared" si="31"/>
        <v>-0.94785390520190838</v>
      </c>
      <c r="O50" s="14"/>
      <c r="P50" s="1">
        <f>SUM(OSRRefP22_7x_0)</f>
        <v>328.45</v>
      </c>
      <c r="Q50" s="1"/>
      <c r="R50" s="5">
        <f t="shared" si="32"/>
        <v>1.4288293343947867E-2</v>
      </c>
      <c r="S50" s="1"/>
      <c r="T50" s="1">
        <f>SUM(OSRRefT22_7x_0)</f>
        <v>6298.65</v>
      </c>
      <c r="U50" s="1"/>
      <c r="V50" s="5">
        <f t="shared" si="33"/>
        <v>0.32588348875616208</v>
      </c>
      <c r="W50" s="1"/>
      <c r="X50" s="1">
        <f t="shared" si="34"/>
        <v>-5970.2</v>
      </c>
      <c r="Y50" s="1"/>
      <c r="Z50" s="5">
        <f t="shared" si="35"/>
        <v>-0.94785390520190838</v>
      </c>
    </row>
    <row r="51" spans="1:26" s="24" customFormat="1" hidden="1" outlineLevel="2" x14ac:dyDescent="0.3">
      <c r="A51" s="27"/>
      <c r="B51" s="12" t="str">
        <f>CONCATENATE("          ", "6279", " - ", "GENERAL EXPENSE")</f>
        <v xml:space="preserve">          6279 - GENERAL EXPENSE</v>
      </c>
      <c r="C51" s="12"/>
      <c r="D51" s="8">
        <v>328.45</v>
      </c>
      <c r="E51" s="3"/>
      <c r="F51" s="7">
        <f t="shared" si="28"/>
        <v>1.4288293343947867E-2</v>
      </c>
      <c r="G51" s="3"/>
      <c r="H51" s="8">
        <v>6298.65</v>
      </c>
      <c r="I51" s="3"/>
      <c r="J51" s="7">
        <f t="shared" si="29"/>
        <v>0.32588348875616208</v>
      </c>
      <c r="K51" s="3"/>
      <c r="L51" s="8">
        <f t="shared" si="30"/>
        <v>-5970.2</v>
      </c>
      <c r="M51" s="3"/>
      <c r="N51" s="7">
        <f t="shared" si="31"/>
        <v>-0.94785390520190838</v>
      </c>
      <c r="O51" s="12"/>
      <c r="P51" s="8">
        <v>328.45</v>
      </c>
      <c r="Q51" s="3"/>
      <c r="R51" s="7">
        <f t="shared" si="32"/>
        <v>1.4288293343947867E-2</v>
      </c>
      <c r="S51" s="3"/>
      <c r="T51" s="8">
        <v>6298.65</v>
      </c>
      <c r="U51" s="3"/>
      <c r="V51" s="7">
        <f t="shared" si="33"/>
        <v>0.32588348875616208</v>
      </c>
      <c r="W51" s="3"/>
      <c r="X51" s="8">
        <f t="shared" si="34"/>
        <v>-5970.2</v>
      </c>
      <c r="Y51" s="3"/>
      <c r="Z51" s="7">
        <f t="shared" si="35"/>
        <v>-0.94785390520190838</v>
      </c>
    </row>
    <row r="52" spans="1:26" s="29" customFormat="1" outlineLevel="1" collapsed="1" x14ac:dyDescent="0.3">
      <c r="A52" s="28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5.22</v>
      </c>
      <c r="E52" s="1"/>
      <c r="F52" s="5">
        <f t="shared" si="28"/>
        <v>2.2708141651821547E-4</v>
      </c>
      <c r="G52" s="1"/>
      <c r="H52" s="1">
        <f>SUM(OSRRefH22_8x_0)</f>
        <v>5.9</v>
      </c>
      <c r="I52" s="1"/>
      <c r="J52" s="5">
        <f t="shared" si="29"/>
        <v>3.0525788600118385E-4</v>
      </c>
      <c r="K52" s="1"/>
      <c r="L52" s="1">
        <f t="shared" si="30"/>
        <v>-0.6800000000000006</v>
      </c>
      <c r="M52" s="1"/>
      <c r="N52" s="5">
        <f t="shared" si="31"/>
        <v>-0.11525423728813569</v>
      </c>
      <c r="O52" s="14"/>
      <c r="P52" s="1">
        <f>SUM(OSRRefP22_8x_0)</f>
        <v>5.22</v>
      </c>
      <c r="Q52" s="1"/>
      <c r="R52" s="5">
        <f t="shared" si="32"/>
        <v>2.2708141651821547E-4</v>
      </c>
      <c r="S52" s="1"/>
      <c r="T52" s="1">
        <f>SUM(OSRRefT22_8x_0)</f>
        <v>5.9</v>
      </c>
      <c r="U52" s="1"/>
      <c r="V52" s="5">
        <f t="shared" si="33"/>
        <v>3.0525788600118385E-4</v>
      </c>
      <c r="W52" s="1"/>
      <c r="X52" s="1">
        <f t="shared" si="34"/>
        <v>-0.6800000000000006</v>
      </c>
      <c r="Y52" s="1"/>
      <c r="Z52" s="5">
        <f t="shared" si="35"/>
        <v>-0.11525423728813569</v>
      </c>
    </row>
    <row r="53" spans="1:26" s="24" customFormat="1" hidden="1" outlineLevel="2" x14ac:dyDescent="0.3">
      <c r="A53" s="27"/>
      <c r="B53" s="12" t="str">
        <f>CONCATENATE("          ", "6314", " - ", "LIABILITY INSURANCE")</f>
        <v xml:space="preserve">          6314 - LIABILITY INSURANCE</v>
      </c>
      <c r="C53" s="12"/>
      <c r="D53" s="8">
        <v>5.22</v>
      </c>
      <c r="E53" s="3"/>
      <c r="F53" s="7">
        <f t="shared" si="28"/>
        <v>2.2708141651821547E-4</v>
      </c>
      <c r="G53" s="3"/>
      <c r="H53" s="8">
        <v>5.9</v>
      </c>
      <c r="I53" s="3"/>
      <c r="J53" s="7">
        <f t="shared" si="29"/>
        <v>3.0525788600118385E-4</v>
      </c>
      <c r="K53" s="3"/>
      <c r="L53" s="8">
        <f t="shared" si="30"/>
        <v>-0.6800000000000006</v>
      </c>
      <c r="M53" s="3"/>
      <c r="N53" s="7">
        <f t="shared" si="31"/>
        <v>-0.11525423728813569</v>
      </c>
      <c r="O53" s="12"/>
      <c r="P53" s="8">
        <v>5.22</v>
      </c>
      <c r="Q53" s="3"/>
      <c r="R53" s="7">
        <f t="shared" si="32"/>
        <v>2.2708141651821547E-4</v>
      </c>
      <c r="S53" s="3"/>
      <c r="T53" s="8">
        <v>5.9</v>
      </c>
      <c r="U53" s="3"/>
      <c r="V53" s="7">
        <f t="shared" si="33"/>
        <v>3.0525788600118385E-4</v>
      </c>
      <c r="W53" s="3"/>
      <c r="X53" s="8">
        <f t="shared" si="34"/>
        <v>-0.6800000000000006</v>
      </c>
      <c r="Y53" s="3"/>
      <c r="Z53" s="7">
        <f t="shared" si="35"/>
        <v>-0.11525423728813569</v>
      </c>
    </row>
    <row r="54" spans="1:26" s="29" customFormat="1" outlineLevel="1" collapsed="1" x14ac:dyDescent="0.3">
      <c r="A54" s="28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1568</v>
      </c>
      <c r="E54" s="1"/>
      <c r="F54" s="5">
        <f t="shared" si="28"/>
        <v>6.8211429329609552E-2</v>
      </c>
      <c r="G54" s="1"/>
      <c r="H54" s="1">
        <f>SUM(OSRRefH22_9x_0)</f>
        <v>1151.68</v>
      </c>
      <c r="I54" s="1"/>
      <c r="J54" s="5">
        <f t="shared" si="29"/>
        <v>5.9586339347431079E-2</v>
      </c>
      <c r="K54" s="1"/>
      <c r="L54" s="1">
        <f t="shared" si="30"/>
        <v>416.31999999999994</v>
      </c>
      <c r="M54" s="1"/>
      <c r="N54" s="5">
        <f t="shared" si="31"/>
        <v>0.36148930258405104</v>
      </c>
      <c r="O54" s="14"/>
      <c r="P54" s="1">
        <f>SUM(OSRRefP22_9x_0)</f>
        <v>1568</v>
      </c>
      <c r="Q54" s="1"/>
      <c r="R54" s="5">
        <f t="shared" si="32"/>
        <v>6.8211429329609552E-2</v>
      </c>
      <c r="S54" s="1"/>
      <c r="T54" s="1">
        <f>SUM(OSRRefT22_9x_0)</f>
        <v>1151.68</v>
      </c>
      <c r="U54" s="1"/>
      <c r="V54" s="5">
        <f t="shared" si="33"/>
        <v>5.9586339347431079E-2</v>
      </c>
      <c r="W54" s="1"/>
      <c r="X54" s="1">
        <f t="shared" si="34"/>
        <v>416.31999999999994</v>
      </c>
      <c r="Y54" s="1"/>
      <c r="Z54" s="5">
        <f t="shared" si="35"/>
        <v>0.36148930258405104</v>
      </c>
    </row>
    <row r="55" spans="1:26" s="24" customFormat="1" hidden="1" outlineLevel="2" x14ac:dyDescent="0.3">
      <c r="A55" s="27"/>
      <c r="B55" s="12" t="str">
        <f>CONCATENATE("          ", "6387", " - ", "COMMISSION DUE HOUSING")</f>
        <v xml:space="preserve">          6387 - COMMISSION DUE HOUSING</v>
      </c>
      <c r="C55" s="12"/>
      <c r="D55" s="8">
        <v>1568</v>
      </c>
      <c r="E55" s="3"/>
      <c r="F55" s="7">
        <f t="shared" si="28"/>
        <v>6.8211429329609552E-2</v>
      </c>
      <c r="G55" s="3"/>
      <c r="H55" s="8">
        <v>1151.68</v>
      </c>
      <c r="I55" s="3"/>
      <c r="J55" s="7">
        <f t="shared" si="29"/>
        <v>5.9586339347431079E-2</v>
      </c>
      <c r="K55" s="3"/>
      <c r="L55" s="8">
        <f t="shared" si="30"/>
        <v>416.31999999999994</v>
      </c>
      <c r="M55" s="3"/>
      <c r="N55" s="7">
        <f t="shared" si="31"/>
        <v>0.36148930258405104</v>
      </c>
      <c r="O55" s="12"/>
      <c r="P55" s="8">
        <v>1568</v>
      </c>
      <c r="Q55" s="3"/>
      <c r="R55" s="7">
        <f t="shared" si="32"/>
        <v>6.8211429329609552E-2</v>
      </c>
      <c r="S55" s="3"/>
      <c r="T55" s="8">
        <v>1151.68</v>
      </c>
      <c r="U55" s="3"/>
      <c r="V55" s="7">
        <f t="shared" si="33"/>
        <v>5.9586339347431079E-2</v>
      </c>
      <c r="W55" s="3"/>
      <c r="X55" s="8">
        <f t="shared" si="34"/>
        <v>416.31999999999994</v>
      </c>
      <c r="Y55" s="3"/>
      <c r="Z55" s="7">
        <f t="shared" si="35"/>
        <v>0.36148930258405104</v>
      </c>
    </row>
    <row r="56" spans="1:26" s="29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4129</v>
      </c>
      <c r="E56" s="1"/>
      <c r="F56" s="5">
        <f t="shared" si="28"/>
        <v>0.179620530422167</v>
      </c>
      <c r="G56" s="1"/>
      <c r="H56" s="1">
        <f>SUM(OSRRefH22_10x_0)</f>
        <v>1.65</v>
      </c>
      <c r="I56" s="1"/>
      <c r="J56" s="5">
        <f t="shared" si="29"/>
        <v>8.5368730830839531E-5</v>
      </c>
      <c r="K56" s="1"/>
      <c r="L56" s="1">
        <f t="shared" si="30"/>
        <v>4127.3500000000004</v>
      </c>
      <c r="M56" s="1"/>
      <c r="N56" s="5">
        <f t="shared" si="31"/>
        <v>2501.4242424242429</v>
      </c>
      <c r="O56" s="14"/>
      <c r="P56" s="1">
        <f>SUM(OSRRefP22_10x_0)</f>
        <v>4129</v>
      </c>
      <c r="Q56" s="1"/>
      <c r="R56" s="5">
        <f t="shared" si="32"/>
        <v>0.179620530422167</v>
      </c>
      <c r="S56" s="1"/>
      <c r="T56" s="1">
        <f>SUM(OSRRefT22_10x_0)</f>
        <v>1.65</v>
      </c>
      <c r="U56" s="1"/>
      <c r="V56" s="5">
        <f t="shared" si="33"/>
        <v>8.5368730830839531E-5</v>
      </c>
      <c r="W56" s="1"/>
      <c r="X56" s="1">
        <f t="shared" si="34"/>
        <v>4127.3500000000004</v>
      </c>
      <c r="Y56" s="1"/>
      <c r="Z56" s="5">
        <f t="shared" si="35"/>
        <v>2501.4242424242429</v>
      </c>
    </row>
    <row r="57" spans="1:26" s="24" customFormat="1" hidden="1" outlineLevel="2" x14ac:dyDescent="0.3">
      <c r="A57" s="27"/>
      <c r="B57" s="12" t="str">
        <f>CONCATENATE("          ", "6371", " - ", "COMPUTER SOFTWARE MAINTENANCE")</f>
        <v xml:space="preserve">          6371 - COMPUTER SOFTWARE MAINTENANCE</v>
      </c>
      <c r="C57" s="12"/>
      <c r="D57" s="8">
        <v>3500</v>
      </c>
      <c r="E57" s="3"/>
      <c r="F57" s="7">
        <f t="shared" si="28"/>
        <v>0.15225765475359274</v>
      </c>
      <c r="G57" s="3"/>
      <c r="H57" s="8"/>
      <c r="I57" s="3"/>
      <c r="J57" s="7">
        <f t="shared" si="29"/>
        <v>0</v>
      </c>
      <c r="K57" s="3"/>
      <c r="L57" s="8">
        <f t="shared" si="30"/>
        <v>3500</v>
      </c>
      <c r="M57" s="3"/>
      <c r="N57" s="7">
        <f t="shared" si="31"/>
        <v>0</v>
      </c>
      <c r="O57" s="12"/>
      <c r="P57" s="8">
        <v>3500</v>
      </c>
      <c r="Q57" s="3"/>
      <c r="R57" s="7">
        <f t="shared" si="32"/>
        <v>0.15225765475359274</v>
      </c>
      <c r="S57" s="3"/>
      <c r="T57" s="8"/>
      <c r="U57" s="3"/>
      <c r="V57" s="7">
        <f t="shared" si="33"/>
        <v>0</v>
      </c>
      <c r="W57" s="3"/>
      <c r="X57" s="8">
        <f t="shared" si="34"/>
        <v>3500</v>
      </c>
      <c r="Y57" s="3"/>
      <c r="Z57" s="7">
        <f t="shared" si="35"/>
        <v>0</v>
      </c>
    </row>
    <row r="58" spans="1:26" s="24" customFormat="1" hidden="1" outlineLevel="2" x14ac:dyDescent="0.3">
      <c r="A58" s="27"/>
      <c r="B58" s="12" t="str">
        <f>CONCATENATE("          ", "6373", " - ", "MAINTENANCE CONTRACTS")</f>
        <v xml:space="preserve">          6373 - MAINTENANCE CONTRACTS</v>
      </c>
      <c r="C58" s="12"/>
      <c r="D58" s="8">
        <v>14</v>
      </c>
      <c r="E58" s="3"/>
      <c r="F58" s="7">
        <f t="shared" si="28"/>
        <v>6.09030619014371E-4</v>
      </c>
      <c r="G58" s="3"/>
      <c r="H58" s="8">
        <v>1.65</v>
      </c>
      <c r="I58" s="3"/>
      <c r="J58" s="7">
        <f t="shared" si="29"/>
        <v>8.5368730830839531E-5</v>
      </c>
      <c r="K58" s="3"/>
      <c r="L58" s="8">
        <f t="shared" si="30"/>
        <v>12.35</v>
      </c>
      <c r="M58" s="3"/>
      <c r="N58" s="7">
        <f t="shared" si="31"/>
        <v>7.4848484848484853</v>
      </c>
      <c r="O58" s="12"/>
      <c r="P58" s="8">
        <v>14</v>
      </c>
      <c r="Q58" s="3"/>
      <c r="R58" s="7">
        <f t="shared" si="32"/>
        <v>6.09030619014371E-4</v>
      </c>
      <c r="S58" s="3"/>
      <c r="T58" s="8">
        <v>1.65</v>
      </c>
      <c r="U58" s="3"/>
      <c r="V58" s="7">
        <f t="shared" si="33"/>
        <v>8.5368730830839531E-5</v>
      </c>
      <c r="W58" s="3"/>
      <c r="X58" s="8">
        <f t="shared" si="34"/>
        <v>12.35</v>
      </c>
      <c r="Y58" s="3"/>
      <c r="Z58" s="7">
        <f t="shared" si="35"/>
        <v>7.4848484848484853</v>
      </c>
    </row>
    <row r="59" spans="1:26" s="24" customFormat="1" hidden="1" outlineLevel="2" x14ac:dyDescent="0.3">
      <c r="A59" s="27"/>
      <c r="B59" s="12" t="str">
        <f>CONCATENATE("          ", "6375", " - ", "OUTSIDE REPAIRS &amp; MAINTENANCE")</f>
        <v xml:space="preserve">          6375 - OUTSIDE REPAIRS &amp; MAINTENANCE</v>
      </c>
      <c r="C59" s="12"/>
      <c r="D59" s="8">
        <v>615</v>
      </c>
      <c r="E59" s="3"/>
      <c r="F59" s="7">
        <f t="shared" si="28"/>
        <v>2.6753845049559868E-2</v>
      </c>
      <c r="G59" s="3"/>
      <c r="H59" s="8"/>
      <c r="I59" s="3"/>
      <c r="J59" s="7">
        <f t="shared" si="29"/>
        <v>0</v>
      </c>
      <c r="K59" s="3"/>
      <c r="L59" s="8">
        <f t="shared" si="30"/>
        <v>615</v>
      </c>
      <c r="M59" s="3"/>
      <c r="N59" s="7">
        <f t="shared" si="31"/>
        <v>0</v>
      </c>
      <c r="O59" s="12"/>
      <c r="P59" s="8">
        <v>615</v>
      </c>
      <c r="Q59" s="3"/>
      <c r="R59" s="7">
        <f t="shared" si="32"/>
        <v>2.6753845049559868E-2</v>
      </c>
      <c r="S59" s="3"/>
      <c r="T59" s="8"/>
      <c r="U59" s="3"/>
      <c r="V59" s="7">
        <f t="shared" si="33"/>
        <v>0</v>
      </c>
      <c r="W59" s="3"/>
      <c r="X59" s="8">
        <f t="shared" si="34"/>
        <v>615</v>
      </c>
      <c r="Y59" s="3"/>
      <c r="Z59" s="7">
        <f t="shared" si="35"/>
        <v>0</v>
      </c>
    </row>
    <row r="60" spans="1:26" s="29" customFormat="1" outlineLevel="1" collapsed="1" x14ac:dyDescent="0.3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SUM(OSRRefD22_11x_0)</f>
        <v>13078.92</v>
      </c>
      <c r="E60" s="1"/>
      <c r="F60" s="5">
        <f t="shared" ref="F60:F63" si="36">IF(D$12=0,0,D60/D$12)</f>
        <v>0.56896162454567412</v>
      </c>
      <c r="G60" s="1"/>
      <c r="H60" s="1">
        <f>SUM(OSRRefH22_11x_0)</f>
        <v>11152.67</v>
      </c>
      <c r="I60" s="1"/>
      <c r="J60" s="5">
        <f t="shared" ref="J60:J63" si="37">IF(H$12=0,0,H60/H$12)</f>
        <v>0.57702380804556319</v>
      </c>
      <c r="K60" s="1"/>
      <c r="L60" s="1">
        <f t="shared" ref="L60:L63" si="38">+D60-H60</f>
        <v>1926.25</v>
      </c>
      <c r="M60" s="1"/>
      <c r="N60" s="5">
        <f t="shared" ref="N60:N63" si="39">IF(H60=0,0,L60/H60)</f>
        <v>0.17271648851799615</v>
      </c>
      <c r="O60" s="14"/>
      <c r="P60" s="1">
        <f>SUM(OSRRefP22_11x_0)</f>
        <v>13078.92</v>
      </c>
      <c r="Q60" s="1"/>
      <c r="R60" s="5">
        <f t="shared" ref="R60:R63" si="40">IF(P$12=0,0,P60/P$12)</f>
        <v>0.56896162454567412</v>
      </c>
      <c r="S60" s="1"/>
      <c r="T60" s="1">
        <f>SUM(OSRRefT22_11x_0)</f>
        <v>11152.67</v>
      </c>
      <c r="U60" s="1"/>
      <c r="V60" s="5">
        <f t="shared" ref="V60:V63" si="41">IF(T$12=0,0,T60/T$12)</f>
        <v>0.57702380804556319</v>
      </c>
      <c r="W60" s="1"/>
      <c r="X60" s="1">
        <f t="shared" ref="X60:X63" si="42">+P60-T60</f>
        <v>1926.25</v>
      </c>
      <c r="Y60" s="1"/>
      <c r="Z60" s="5">
        <f t="shared" ref="Z60:Z63" si="43">IF(T60=0,0,X60/T60)</f>
        <v>0.17271648851799615</v>
      </c>
    </row>
    <row r="61" spans="1:26" s="24" customFormat="1" hidden="1" outlineLevel="2" x14ac:dyDescent="0.3">
      <c r="A61" s="27"/>
      <c r="B61" s="12" t="str">
        <f>CONCATENATE("          ", "6282", " - ", "JANITORIAL/EXTERMINATOR EXPENS")</f>
        <v xml:space="preserve">          6282 - JANITORIAL/EXTERMINATOR EXPENS</v>
      </c>
      <c r="C61" s="12"/>
      <c r="D61" s="8">
        <v>1508.5</v>
      </c>
      <c r="E61" s="3"/>
      <c r="F61" s="7">
        <f t="shared" si="36"/>
        <v>6.562304919879848E-2</v>
      </c>
      <c r="G61" s="3"/>
      <c r="H61" s="8">
        <v>1221.68</v>
      </c>
      <c r="I61" s="3"/>
      <c r="J61" s="7">
        <f t="shared" si="37"/>
        <v>6.3208043079648515E-2</v>
      </c>
      <c r="K61" s="3"/>
      <c r="L61" s="8">
        <f t="shared" si="38"/>
        <v>286.81999999999994</v>
      </c>
      <c r="M61" s="3"/>
      <c r="N61" s="7">
        <f t="shared" si="39"/>
        <v>0.2347750638465064</v>
      </c>
      <c r="O61" s="12"/>
      <c r="P61" s="8">
        <v>1508.5</v>
      </c>
      <c r="Q61" s="3"/>
      <c r="R61" s="7">
        <f t="shared" si="40"/>
        <v>6.562304919879848E-2</v>
      </c>
      <c r="S61" s="3"/>
      <c r="T61" s="8">
        <v>1221.68</v>
      </c>
      <c r="U61" s="3"/>
      <c r="V61" s="7">
        <f t="shared" si="41"/>
        <v>6.3208043079648515E-2</v>
      </c>
      <c r="W61" s="3"/>
      <c r="X61" s="8">
        <f t="shared" si="42"/>
        <v>286.81999999999994</v>
      </c>
      <c r="Y61" s="3"/>
      <c r="Z61" s="7">
        <f t="shared" si="43"/>
        <v>0.2347750638465064</v>
      </c>
    </row>
    <row r="62" spans="1:26" s="24" customFormat="1" hidden="1" outlineLevel="2" x14ac:dyDescent="0.3">
      <c r="A62" s="27"/>
      <c r="B62" s="12" t="str">
        <f>CONCATENATE("          ", "6285", " - ", "JANITORIAL SERVICES")</f>
        <v xml:space="preserve">          6285 - JANITORIAL SERVICES</v>
      </c>
      <c r="C62" s="12"/>
      <c r="D62" s="8">
        <v>10647.19</v>
      </c>
      <c r="E62" s="3"/>
      <c r="F62" s="7">
        <f t="shared" si="36"/>
        <v>0.46317605117597294</v>
      </c>
      <c r="G62" s="3"/>
      <c r="H62" s="8">
        <v>8314.1</v>
      </c>
      <c r="I62" s="3"/>
      <c r="J62" s="7">
        <f t="shared" si="37"/>
        <v>0.43016010000041399</v>
      </c>
      <c r="K62" s="3"/>
      <c r="L62" s="8">
        <f t="shared" si="38"/>
        <v>2333.09</v>
      </c>
      <c r="M62" s="3"/>
      <c r="N62" s="7">
        <f t="shared" si="39"/>
        <v>0.28061846742281188</v>
      </c>
      <c r="O62" s="12"/>
      <c r="P62" s="8">
        <v>10647.19</v>
      </c>
      <c r="Q62" s="3"/>
      <c r="R62" s="7">
        <f t="shared" si="40"/>
        <v>0.46317605117597294</v>
      </c>
      <c r="S62" s="3"/>
      <c r="T62" s="8">
        <v>8314.1</v>
      </c>
      <c r="U62" s="3"/>
      <c r="V62" s="7">
        <f t="shared" si="41"/>
        <v>0.43016010000041399</v>
      </c>
      <c r="W62" s="3"/>
      <c r="X62" s="8">
        <f t="shared" si="42"/>
        <v>2333.09</v>
      </c>
      <c r="Y62" s="3"/>
      <c r="Z62" s="7">
        <f t="shared" si="43"/>
        <v>0.28061846742281188</v>
      </c>
    </row>
    <row r="63" spans="1:26" s="24" customFormat="1" hidden="1" outlineLevel="2" x14ac:dyDescent="0.3">
      <c r="A63" s="27"/>
      <c r="B63" s="12" t="str">
        <f>CONCATENATE("          ", "6286", " - ", "LAUNDRY EXPENSE")</f>
        <v xml:space="preserve">          6286 - LAUNDRY EXPENSE</v>
      </c>
      <c r="C63" s="12"/>
      <c r="D63" s="8">
        <v>923.23</v>
      </c>
      <c r="E63" s="3"/>
      <c r="F63" s="7">
        <f t="shared" si="36"/>
        <v>4.0162524170902693E-2</v>
      </c>
      <c r="G63" s="3"/>
      <c r="H63" s="8">
        <v>1616.89</v>
      </c>
      <c r="I63" s="3"/>
      <c r="J63" s="7">
        <f t="shared" si="37"/>
        <v>8.3655664965500698E-2</v>
      </c>
      <c r="K63" s="3"/>
      <c r="L63" s="8">
        <f t="shared" si="38"/>
        <v>-693.66000000000008</v>
      </c>
      <c r="M63" s="3"/>
      <c r="N63" s="7">
        <f t="shared" si="39"/>
        <v>-0.42900877610721821</v>
      </c>
      <c r="O63" s="12"/>
      <c r="P63" s="8">
        <v>923.23</v>
      </c>
      <c r="Q63" s="3"/>
      <c r="R63" s="7">
        <f t="shared" si="40"/>
        <v>4.0162524170902693E-2</v>
      </c>
      <c r="S63" s="3"/>
      <c r="T63" s="8">
        <v>1616.89</v>
      </c>
      <c r="U63" s="3"/>
      <c r="V63" s="7">
        <f t="shared" si="41"/>
        <v>8.3655664965500698E-2</v>
      </c>
      <c r="W63" s="3"/>
      <c r="X63" s="8">
        <f t="shared" si="42"/>
        <v>-693.66000000000008</v>
      </c>
      <c r="Y63" s="3"/>
      <c r="Z63" s="7">
        <f t="shared" si="43"/>
        <v>-0.42900877610721821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SUM(OSRRefD22_12x_0)</f>
        <v>5210.6799999999994</v>
      </c>
      <c r="E64" s="1"/>
      <c r="F64" s="5">
        <f t="shared" ref="F64:F69" si="44">IF(D$12=0,0,D64/D$12)</f>
        <v>0.22667597613470017</v>
      </c>
      <c r="G64" s="1"/>
      <c r="H64" s="1">
        <f>SUM(OSRRefH22_12x_0)</f>
        <v>6868.5199999999995</v>
      </c>
      <c r="I64" s="1"/>
      <c r="J64" s="5">
        <f t="shared" ref="J64:J69" si="45">IF(H$12=0,0,H64/H$12)</f>
        <v>0.3553677788401442</v>
      </c>
      <c r="K64" s="1"/>
      <c r="L64" s="1">
        <f t="shared" ref="L64:L69" si="46">+D64-H64</f>
        <v>-1657.8400000000001</v>
      </c>
      <c r="M64" s="1"/>
      <c r="N64" s="5">
        <f t="shared" ref="N64:N69" si="47">IF(H64=0,0,L64/H64)</f>
        <v>-0.24136786381927988</v>
      </c>
      <c r="O64" s="14"/>
      <c r="P64" s="1">
        <f>SUM(OSRRefP22_12x_0)</f>
        <v>5210.6799999999994</v>
      </c>
      <c r="Q64" s="1"/>
      <c r="R64" s="5">
        <f t="shared" ref="R64:R69" si="48">IF(P$12=0,0,P64/P$12)</f>
        <v>0.22667597613470017</v>
      </c>
      <c r="S64" s="1"/>
      <c r="T64" s="1">
        <f>SUM(OSRRefT22_12x_0)</f>
        <v>6868.5199999999995</v>
      </c>
      <c r="U64" s="1"/>
      <c r="V64" s="5">
        <f t="shared" ref="V64:V69" si="49">IF(T$12=0,0,T64/T$12)</f>
        <v>0.3553677788401442</v>
      </c>
      <c r="W64" s="1"/>
      <c r="X64" s="1">
        <f t="shared" ref="X64:X69" si="50">+P64-T64</f>
        <v>-1657.8400000000001</v>
      </c>
      <c r="Y64" s="1"/>
      <c r="Z64" s="5">
        <f t="shared" ref="Z64:Z69" si="51">IF(T64=0,0,X64/T64)</f>
        <v>-0.24136786381927988</v>
      </c>
    </row>
    <row r="65" spans="1:26" s="24" customFormat="1" hidden="1" outlineLevel="2" x14ac:dyDescent="0.3">
      <c r="A65" s="27"/>
      <c r="B65" s="12" t="str">
        <f>CONCATENATE("          ", "6235", " - ", "COVID-19 EXPENSES")</f>
        <v xml:space="preserve">          6235 - COVID-19 EXPENSES</v>
      </c>
      <c r="C65" s="12"/>
      <c r="D65" s="8"/>
      <c r="E65" s="3"/>
      <c r="F65" s="7">
        <f t="shared" si="44"/>
        <v>0</v>
      </c>
      <c r="G65" s="3"/>
      <c r="H65" s="8">
        <v>4966.12</v>
      </c>
      <c r="I65" s="3"/>
      <c r="J65" s="7">
        <f t="shared" si="45"/>
        <v>0.25694021912342352</v>
      </c>
      <c r="K65" s="3"/>
      <c r="L65" s="8">
        <f t="shared" si="46"/>
        <v>-4966.12</v>
      </c>
      <c r="M65" s="3"/>
      <c r="N65" s="7">
        <f t="shared" si="47"/>
        <v>-1</v>
      </c>
      <c r="O65" s="12"/>
      <c r="P65" s="8"/>
      <c r="Q65" s="3"/>
      <c r="R65" s="7">
        <f t="shared" si="48"/>
        <v>0</v>
      </c>
      <c r="S65" s="3"/>
      <c r="T65" s="8">
        <v>4966.12</v>
      </c>
      <c r="U65" s="3"/>
      <c r="V65" s="7">
        <f t="shared" si="49"/>
        <v>0.25694021912342352</v>
      </c>
      <c r="W65" s="3"/>
      <c r="X65" s="8">
        <f t="shared" si="50"/>
        <v>-4966.12</v>
      </c>
      <c r="Y65" s="3"/>
      <c r="Z65" s="7">
        <f t="shared" si="51"/>
        <v>-1</v>
      </c>
    </row>
    <row r="66" spans="1:26" s="24" customFormat="1" hidden="1" outlineLevel="2" x14ac:dyDescent="0.3">
      <c r="A66" s="27"/>
      <c r="B66" s="12" t="str">
        <f>CONCATENATE("          ", "6237", " - ", "JANITORIAL SUPPLIES")</f>
        <v xml:space="preserve">          6237 - JANITORIAL SUPPLIES</v>
      </c>
      <c r="C66" s="12"/>
      <c r="D66" s="8">
        <v>3701.95</v>
      </c>
      <c r="E66" s="3"/>
      <c r="F66" s="7">
        <f t="shared" si="44"/>
        <v>0.16104292143287505</v>
      </c>
      <c r="G66" s="3"/>
      <c r="H66" s="8">
        <v>1188.04</v>
      </c>
      <c r="I66" s="3"/>
      <c r="J66" s="7">
        <f t="shared" si="45"/>
        <v>6.1467555743194305E-2</v>
      </c>
      <c r="K66" s="3"/>
      <c r="L66" s="8">
        <f t="shared" si="46"/>
        <v>2513.91</v>
      </c>
      <c r="M66" s="3"/>
      <c r="N66" s="7">
        <f t="shared" si="47"/>
        <v>2.116014612302616</v>
      </c>
      <c r="O66" s="12"/>
      <c r="P66" s="8">
        <v>3701.95</v>
      </c>
      <c r="Q66" s="3"/>
      <c r="R66" s="7">
        <f t="shared" si="48"/>
        <v>0.16104292143287505</v>
      </c>
      <c r="S66" s="3"/>
      <c r="T66" s="8">
        <v>1188.04</v>
      </c>
      <c r="U66" s="3"/>
      <c r="V66" s="7">
        <f t="shared" si="49"/>
        <v>6.1467555743194305E-2</v>
      </c>
      <c r="W66" s="3"/>
      <c r="X66" s="8">
        <f t="shared" si="50"/>
        <v>2513.91</v>
      </c>
      <c r="Y66" s="3"/>
      <c r="Z66" s="7">
        <f t="shared" si="51"/>
        <v>2.116014612302616</v>
      </c>
    </row>
    <row r="67" spans="1:26" s="24" customFormat="1" hidden="1" outlineLevel="2" x14ac:dyDescent="0.3">
      <c r="A67" s="27"/>
      <c r="B67" s="12" t="str">
        <f>CONCATENATE("          ", "6239", " - ", "KITCHEN SUPPLIES")</f>
        <v xml:space="preserve">          6239 - KITCHEN SUPPLIES</v>
      </c>
      <c r="C67" s="12"/>
      <c r="D67" s="8"/>
      <c r="E67" s="3"/>
      <c r="F67" s="7">
        <f t="shared" si="44"/>
        <v>0</v>
      </c>
      <c r="G67" s="3"/>
      <c r="H67" s="8">
        <v>50</v>
      </c>
      <c r="I67" s="3"/>
      <c r="J67" s="7">
        <f t="shared" si="45"/>
        <v>2.5869312372981679E-3</v>
      </c>
      <c r="K67" s="3"/>
      <c r="L67" s="8">
        <f t="shared" si="46"/>
        <v>-50</v>
      </c>
      <c r="M67" s="3"/>
      <c r="N67" s="7">
        <f t="shared" si="47"/>
        <v>-1</v>
      </c>
      <c r="O67" s="12"/>
      <c r="P67" s="8"/>
      <c r="Q67" s="3"/>
      <c r="R67" s="7">
        <f t="shared" si="48"/>
        <v>0</v>
      </c>
      <c r="S67" s="3"/>
      <c r="T67" s="8">
        <v>50</v>
      </c>
      <c r="U67" s="3"/>
      <c r="V67" s="7">
        <f t="shared" si="49"/>
        <v>2.5869312372981679E-3</v>
      </c>
      <c r="W67" s="3"/>
      <c r="X67" s="8">
        <f t="shared" si="50"/>
        <v>-50</v>
      </c>
      <c r="Y67" s="3"/>
      <c r="Z67" s="7">
        <f t="shared" si="51"/>
        <v>-1</v>
      </c>
    </row>
    <row r="68" spans="1:26" s="24" customFormat="1" hidden="1" outlineLevel="2" x14ac:dyDescent="0.3">
      <c r="A68" s="27"/>
      <c r="B68" s="12" t="str">
        <f>CONCATENATE("          ", "6241", " - ", "OFFICE EXPENSE")</f>
        <v xml:space="preserve">          6241 - OFFICE EXPENSE</v>
      </c>
      <c r="C68" s="12"/>
      <c r="D68" s="8">
        <v>445.66</v>
      </c>
      <c r="E68" s="3"/>
      <c r="F68" s="7">
        <f t="shared" si="44"/>
        <v>1.9387184690710327E-2</v>
      </c>
      <c r="G68" s="3"/>
      <c r="H68" s="8">
        <v>16.48</v>
      </c>
      <c r="I68" s="3"/>
      <c r="J68" s="7">
        <f t="shared" si="45"/>
        <v>8.5265253581347613E-4</v>
      </c>
      <c r="K68" s="3"/>
      <c r="L68" s="8">
        <f t="shared" si="46"/>
        <v>429.18</v>
      </c>
      <c r="M68" s="3"/>
      <c r="N68" s="7">
        <f t="shared" si="47"/>
        <v>26.042475728155338</v>
      </c>
      <c r="O68" s="12"/>
      <c r="P68" s="8">
        <v>445.66</v>
      </c>
      <c r="Q68" s="3"/>
      <c r="R68" s="7">
        <f t="shared" si="48"/>
        <v>1.9387184690710327E-2</v>
      </c>
      <c r="S68" s="3"/>
      <c r="T68" s="8">
        <v>16.48</v>
      </c>
      <c r="U68" s="3"/>
      <c r="V68" s="7">
        <f t="shared" si="49"/>
        <v>8.5265253581347613E-4</v>
      </c>
      <c r="W68" s="3"/>
      <c r="X68" s="8">
        <f t="shared" si="50"/>
        <v>429.18</v>
      </c>
      <c r="Y68" s="3"/>
      <c r="Z68" s="7">
        <f t="shared" si="51"/>
        <v>26.042475728155338</v>
      </c>
    </row>
    <row r="69" spans="1:26" s="24" customFormat="1" hidden="1" outlineLevel="2" x14ac:dyDescent="0.3">
      <c r="A69" s="27"/>
      <c r="B69" s="12" t="str">
        <f>CONCATENATE("          ", "6243", " - ", "PAPER SUPPLIES")</f>
        <v xml:space="preserve">          6243 - PAPER SUPPLIES</v>
      </c>
      <c r="C69" s="12"/>
      <c r="D69" s="8">
        <v>1063.07</v>
      </c>
      <c r="E69" s="3"/>
      <c r="F69" s="7">
        <f t="shared" si="44"/>
        <v>4.6245870011114812E-2</v>
      </c>
      <c r="G69" s="3"/>
      <c r="H69" s="8">
        <v>647.88</v>
      </c>
      <c r="I69" s="3"/>
      <c r="J69" s="7">
        <f t="shared" si="45"/>
        <v>3.3520420200414743E-2</v>
      </c>
      <c r="K69" s="3"/>
      <c r="L69" s="8">
        <f t="shared" si="46"/>
        <v>415.18999999999994</v>
      </c>
      <c r="M69" s="3"/>
      <c r="N69" s="7">
        <f t="shared" si="47"/>
        <v>0.64084398345372595</v>
      </c>
      <c r="O69" s="12"/>
      <c r="P69" s="8">
        <v>1063.07</v>
      </c>
      <c r="Q69" s="3"/>
      <c r="R69" s="7">
        <f t="shared" si="48"/>
        <v>4.6245870011114812E-2</v>
      </c>
      <c r="S69" s="3"/>
      <c r="T69" s="8">
        <v>647.88</v>
      </c>
      <c r="U69" s="3"/>
      <c r="V69" s="7">
        <f t="shared" si="49"/>
        <v>3.3520420200414743E-2</v>
      </c>
      <c r="W69" s="3"/>
      <c r="X69" s="8">
        <f t="shared" si="50"/>
        <v>415.18999999999994</v>
      </c>
      <c r="Y69" s="3"/>
      <c r="Z69" s="7">
        <f t="shared" si="51"/>
        <v>0.64084398345372595</v>
      </c>
    </row>
    <row r="70" spans="1:26" s="29" customFormat="1" outlineLevel="1" collapsed="1" x14ac:dyDescent="0.3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499</v>
      </c>
      <c r="E70" s="1"/>
      <c r="F70" s="5">
        <f t="shared" ref="F70:F71" si="52">IF(D$12=0,0,D70/D$12)</f>
        <v>2.1707591349155082E-2</v>
      </c>
      <c r="G70" s="1"/>
      <c r="H70" s="1">
        <f>SUM(OSRRefH22_13x_0)</f>
        <v>632.5</v>
      </c>
      <c r="I70" s="1"/>
      <c r="J70" s="5">
        <f t="shared" ref="J70:J71" si="53">IF(H$12=0,0,H70/H$12)</f>
        <v>3.2724680151821825E-2</v>
      </c>
      <c r="K70" s="1"/>
      <c r="L70" s="1">
        <f t="shared" ref="L70:L71" si="54">+D70-H70</f>
        <v>-133.5</v>
      </c>
      <c r="M70" s="1"/>
      <c r="N70" s="5">
        <f t="shared" ref="N70:N71" si="55">IF(H70=0,0,L70/H70)</f>
        <v>-0.21106719367588933</v>
      </c>
      <c r="O70" s="14"/>
      <c r="P70" s="1">
        <f>SUM(OSRRefP22_13x_0)</f>
        <v>499</v>
      </c>
      <c r="Q70" s="1"/>
      <c r="R70" s="5">
        <f t="shared" ref="R70:R71" si="56">IF(P$12=0,0,P70/P$12)</f>
        <v>2.1707591349155082E-2</v>
      </c>
      <c r="S70" s="1"/>
      <c r="T70" s="1">
        <f>SUM(OSRRefT22_13x_0)</f>
        <v>632.5</v>
      </c>
      <c r="U70" s="1"/>
      <c r="V70" s="5">
        <f t="shared" ref="V70:V71" si="57">IF(T$12=0,0,T70/T$12)</f>
        <v>3.2724680151821825E-2</v>
      </c>
      <c r="W70" s="1"/>
      <c r="X70" s="1">
        <f t="shared" ref="X70:X71" si="58">+P70-T70</f>
        <v>-133.5</v>
      </c>
      <c r="Y70" s="1"/>
      <c r="Z70" s="5">
        <f t="shared" ref="Z70:Z71" si="59">IF(T70=0,0,X70/T70)</f>
        <v>-0.21106719367588933</v>
      </c>
    </row>
    <row r="71" spans="1:26" s="24" customFormat="1" hidden="1" outlineLevel="2" x14ac:dyDescent="0.3">
      <c r="A71" s="27"/>
      <c r="B71" s="12" t="str">
        <f>CONCATENATE("          ", "6309", " - ", "TELEPHONE")</f>
        <v xml:space="preserve">          6309 - TELEPHONE</v>
      </c>
      <c r="C71" s="12"/>
      <c r="D71" s="8">
        <v>499</v>
      </c>
      <c r="E71" s="3"/>
      <c r="F71" s="7">
        <f t="shared" si="52"/>
        <v>2.1707591349155082E-2</v>
      </c>
      <c r="G71" s="3"/>
      <c r="H71" s="8">
        <v>632.5</v>
      </c>
      <c r="I71" s="3"/>
      <c r="J71" s="7">
        <f t="shared" si="53"/>
        <v>3.2724680151821825E-2</v>
      </c>
      <c r="K71" s="3"/>
      <c r="L71" s="8">
        <f t="shared" si="54"/>
        <v>-133.5</v>
      </c>
      <c r="M71" s="3"/>
      <c r="N71" s="7">
        <f t="shared" si="55"/>
        <v>-0.21106719367588933</v>
      </c>
      <c r="O71" s="12"/>
      <c r="P71" s="8">
        <v>499</v>
      </c>
      <c r="Q71" s="3"/>
      <c r="R71" s="7">
        <f t="shared" si="56"/>
        <v>2.1707591349155082E-2</v>
      </c>
      <c r="S71" s="3"/>
      <c r="T71" s="8">
        <v>632.5</v>
      </c>
      <c r="U71" s="3"/>
      <c r="V71" s="7">
        <f t="shared" si="57"/>
        <v>3.2724680151821825E-2</v>
      </c>
      <c r="W71" s="3"/>
      <c r="X71" s="8">
        <f t="shared" si="58"/>
        <v>-133.5</v>
      </c>
      <c r="Y71" s="3"/>
      <c r="Z71" s="7">
        <f t="shared" si="59"/>
        <v>-0.21106719367588933</v>
      </c>
    </row>
    <row r="72" spans="1:26" s="53" customFormat="1" x14ac:dyDescent="0.3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3">
      <c r="A73" s="10"/>
      <c r="B73" s="25" t="s">
        <v>292</v>
      </c>
      <c r="C73" s="10"/>
      <c r="D73" s="4">
        <f>SUM(0)</f>
        <v>0</v>
      </c>
      <c r="E73" s="4"/>
      <c r="F73" s="11">
        <f>IF(D$12=0,0,D73/D$12)</f>
        <v>0</v>
      </c>
      <c r="G73" s="4"/>
      <c r="H73" s="4">
        <f>SUM(0)</f>
        <v>0</v>
      </c>
      <c r="I73" s="4"/>
      <c r="J73" s="11">
        <f>IF(H$12=0,0,H73/H$12)</f>
        <v>0</v>
      </c>
      <c r="K73" s="4"/>
      <c r="L73" s="4">
        <f>+D73-H73</f>
        <v>0</v>
      </c>
      <c r="M73" s="4"/>
      <c r="N73" s="11">
        <f>IF(H73=0,0,L73/H73)</f>
        <v>0</v>
      </c>
      <c r="O73" s="10"/>
      <c r="P73" s="4">
        <f>SUM(0)</f>
        <v>0</v>
      </c>
      <c r="Q73" s="4"/>
      <c r="R73" s="11">
        <f>IF(P$12=0,0,P73/P$12)</f>
        <v>0</v>
      </c>
      <c r="S73" s="4"/>
      <c r="T73" s="4">
        <f>SUM(0)</f>
        <v>0</v>
      </c>
      <c r="U73" s="4"/>
      <c r="V73" s="11">
        <f>IF(T$12=0,0,T73/T$12)</f>
        <v>0</v>
      </c>
      <c r="W73" s="4"/>
      <c r="X73" s="4">
        <f>+P73-T73</f>
        <v>0</v>
      </c>
      <c r="Y73" s="4"/>
      <c r="Z73" s="11">
        <f>IF(T73=0,0,X73/T73)</f>
        <v>0</v>
      </c>
    </row>
    <row r="74" spans="1:26" x14ac:dyDescent="0.3">
      <c r="A74" s="9"/>
      <c r="B74" s="10"/>
      <c r="C74" s="10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10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23" customFormat="1" x14ac:dyDescent="0.3">
      <c r="A75" s="10"/>
      <c r="B75" s="26" t="s">
        <v>276</v>
      </c>
      <c r="C75" s="26"/>
      <c r="D75" s="20">
        <f>+D21-D23+D73</f>
        <v>-188771.38000000006</v>
      </c>
      <c r="E75" s="13"/>
      <c r="F75" s="21">
        <f>IF(D$12=0,0,D75/D$12)</f>
        <v>-8.2119678866855068</v>
      </c>
      <c r="G75" s="13"/>
      <c r="H75" s="20">
        <f>+H21-H23+H73</f>
        <v>-178331.7</v>
      </c>
      <c r="I75" s="13"/>
      <c r="J75" s="21">
        <f>IF(H$12=0,0,H75/H$12)</f>
        <v>-9.2266369066097145</v>
      </c>
      <c r="K75" s="16"/>
      <c r="L75" s="20">
        <f>+D75-H75</f>
        <v>-10439.680000000051</v>
      </c>
      <c r="M75" s="16"/>
      <c r="N75" s="21">
        <f>IF(H75=0,0,L75/H75)</f>
        <v>5.8540797850298351E-2</v>
      </c>
      <c r="O75" s="25"/>
      <c r="P75" s="20">
        <f>+P21-P23+P73</f>
        <v>-188771.38000000006</v>
      </c>
      <c r="Q75" s="13"/>
      <c r="R75" s="21">
        <f>IF(P$12=0,0,P75/P$12)</f>
        <v>-8.2119678866855068</v>
      </c>
      <c r="S75" s="13"/>
      <c r="T75" s="20">
        <f>+T21-T23+T73</f>
        <v>-178331.7</v>
      </c>
      <c r="U75" s="13"/>
      <c r="V75" s="21">
        <f>IF(T$12=0,0,T75/T$12)</f>
        <v>-9.2266369066097145</v>
      </c>
      <c r="W75" s="16"/>
      <c r="X75" s="20">
        <f>+P75-T75</f>
        <v>-10439.680000000051</v>
      </c>
      <c r="Y75" s="16"/>
      <c r="Z75" s="21">
        <f>IF(T75=0,0,X75/T75)</f>
        <v>5.8540797850298351E-2</v>
      </c>
    </row>
    <row r="76" spans="1:26" x14ac:dyDescent="0.3">
      <c r="A76" s="9"/>
      <c r="B76" s="10"/>
      <c r="C76" s="9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23" customFormat="1" x14ac:dyDescent="0.3">
      <c r="A77" s="51"/>
      <c r="B77" s="10" t="s">
        <v>127</v>
      </c>
      <c r="C77" s="10"/>
      <c r="D77" s="4">
        <v>10620.07</v>
      </c>
      <c r="E77" s="4"/>
      <c r="F77" s="11">
        <f>IF(D$12=0,0,D77/D$12)</f>
        <v>0.46199627186256792</v>
      </c>
      <c r="G77" s="4"/>
      <c r="H77" s="4">
        <v>9295.7000000000007</v>
      </c>
      <c r="I77" s="4"/>
      <c r="J77" s="11">
        <f>IF(H$12=0,0,H77/H$12)</f>
        <v>0.48094673405105159</v>
      </c>
      <c r="K77" s="4"/>
      <c r="L77" s="4">
        <f>+D77-H77</f>
        <v>1324.369999999999</v>
      </c>
      <c r="M77" s="4"/>
      <c r="N77" s="11">
        <f>IF(H77=0,0,L77/H77)</f>
        <v>0.14247125014791773</v>
      </c>
      <c r="O77" s="10"/>
      <c r="P77" s="4">
        <v>10620.07</v>
      </c>
      <c r="Q77" s="4"/>
      <c r="R77" s="11">
        <f>IF(P$12=0,0,P77/P$12)</f>
        <v>0.46199627186256792</v>
      </c>
      <c r="S77" s="4"/>
      <c r="T77" s="4">
        <v>9295.7000000000007</v>
      </c>
      <c r="U77" s="4"/>
      <c r="V77" s="11">
        <f>IF(T$12=0,0,T77/T$12)</f>
        <v>0.48094673405105159</v>
      </c>
      <c r="W77" s="4"/>
      <c r="X77" s="4">
        <f>+P77-T77</f>
        <v>1324.369999999999</v>
      </c>
      <c r="Y77" s="4"/>
      <c r="Z77" s="11">
        <f>IF(T77=0,0,X77/T77)</f>
        <v>0.14247125014791773</v>
      </c>
    </row>
    <row r="78" spans="1:26" x14ac:dyDescent="0.3">
      <c r="A78" s="9"/>
      <c r="B78" s="10"/>
      <c r="C78" s="10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10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23" customFormat="1" ht="15" thickBot="1" x14ac:dyDescent="0.35">
      <c r="A79" s="10"/>
      <c r="B79" s="26" t="s">
        <v>125</v>
      </c>
      <c r="C79" s="26"/>
      <c r="D79" s="36">
        <f>+D75-D77</f>
        <v>-199391.45000000007</v>
      </c>
      <c r="E79" s="13"/>
      <c r="F79" s="34">
        <f>IF(D$12=0,0,D79/D$12)</f>
        <v>-8.673964158548074</v>
      </c>
      <c r="G79" s="13"/>
      <c r="H79" s="36">
        <f>+H75-H77</f>
        <v>-187627.40000000002</v>
      </c>
      <c r="I79" s="13"/>
      <c r="J79" s="34">
        <f>IF(H$12=0,0,H79/H$12)</f>
        <v>-9.7075836406607667</v>
      </c>
      <c r="K79" s="16"/>
      <c r="L79" s="36">
        <f>D79-H79</f>
        <v>-11764.050000000047</v>
      </c>
      <c r="M79" s="16"/>
      <c r="N79" s="34">
        <f>IF(H79=0,0,L79/H79)</f>
        <v>6.2698998120743796E-2</v>
      </c>
      <c r="O79" s="25"/>
      <c r="P79" s="36">
        <f>+P75-P77</f>
        <v>-199391.45000000007</v>
      </c>
      <c r="Q79" s="13"/>
      <c r="R79" s="34">
        <f>IF(P$12=0,0,P79/P$12)</f>
        <v>-8.673964158548074</v>
      </c>
      <c r="S79" s="13"/>
      <c r="T79" s="36">
        <f>+T75-T77</f>
        <v>-187627.40000000002</v>
      </c>
      <c r="U79" s="13"/>
      <c r="V79" s="34">
        <f>IF(T$12=0,0,T79/T$12)</f>
        <v>-9.7075836406607667</v>
      </c>
      <c r="W79" s="16"/>
      <c r="X79" s="36">
        <f>P79-T79</f>
        <v>-11764.050000000047</v>
      </c>
      <c r="Y79" s="16"/>
      <c r="Z79" s="34">
        <f>IF(T79=0,0,X79/T79)</f>
        <v>6.2698998120743796E-2</v>
      </c>
    </row>
    <row r="80" spans="1:26" ht="15" thickTop="1" x14ac:dyDescent="0.3">
      <c r="A80" s="9"/>
      <c r="B80" s="9"/>
      <c r="C80" s="9"/>
      <c r="D80" s="2"/>
      <c r="E80" s="2"/>
      <c r="F80" s="6"/>
      <c r="G80" s="2"/>
      <c r="H80" s="2"/>
      <c r="I80" s="2"/>
      <c r="J80" s="6"/>
      <c r="K80" s="2"/>
      <c r="L80" s="2"/>
      <c r="M80" s="2"/>
      <c r="N80" s="6"/>
      <c r="P80" s="2"/>
      <c r="Q80" s="2"/>
      <c r="R80" s="6"/>
      <c r="S80" s="2"/>
      <c r="T80" s="2"/>
      <c r="U80" s="2"/>
      <c r="V80" s="6"/>
      <c r="W80" s="2"/>
      <c r="X80" s="2"/>
      <c r="Y80" s="2"/>
      <c r="Z80" s="6"/>
    </row>
    <row r="81" spans="1:26" x14ac:dyDescent="0.3">
      <c r="A81" s="9"/>
      <c r="B81" s="9"/>
      <c r="C81" s="9"/>
      <c r="D81" s="2"/>
      <c r="E81" s="2"/>
      <c r="F81" s="6"/>
      <c r="G81" s="2"/>
      <c r="H81" s="2"/>
      <c r="I81" s="2"/>
      <c r="J81" s="6"/>
      <c r="K81" s="2"/>
      <c r="L81" s="2"/>
      <c r="M81" s="2"/>
      <c r="N81" s="6"/>
      <c r="P81" s="2"/>
      <c r="Q81" s="2"/>
      <c r="R81" s="6"/>
      <c r="S81" s="2"/>
      <c r="T81" s="2"/>
      <c r="U81" s="2"/>
      <c r="V81" s="6"/>
      <c r="W81" s="2"/>
      <c r="X81" s="2"/>
      <c r="Y81" s="2"/>
      <c r="Z81" s="6"/>
    </row>
    <row r="82" spans="1:26" s="23" customFormat="1" ht="15" thickBot="1" x14ac:dyDescent="0.35">
      <c r="A82" s="10"/>
      <c r="B82" s="26" t="s">
        <v>293</v>
      </c>
      <c r="C82" s="26"/>
      <c r="D82" s="31">
        <f>SUM(D79:D81)</f>
        <v>-199391.45000000007</v>
      </c>
      <c r="E82" s="13"/>
      <c r="F82" s="33">
        <f>IF(D$12=0,0,D82/D$12)</f>
        <v>-8.673964158548074</v>
      </c>
      <c r="G82" s="13"/>
      <c r="H82" s="31">
        <f>SUM(H79:H81)</f>
        <v>-187627.40000000002</v>
      </c>
      <c r="I82" s="13"/>
      <c r="J82" s="33">
        <f>IF(H$12=0,0,H82/H$12)</f>
        <v>-9.7075836406607667</v>
      </c>
      <c r="K82" s="16"/>
      <c r="L82" s="31">
        <f>+D82-H82</f>
        <v>-11764.050000000047</v>
      </c>
      <c r="M82" s="16"/>
      <c r="N82" s="33">
        <f>IF(H82=0,0,L82/H82)</f>
        <v>6.2698998120743796E-2</v>
      </c>
      <c r="O82" s="25"/>
      <c r="P82" s="31">
        <f>SUM(P79:P81)</f>
        <v>-199391.45000000007</v>
      </c>
      <c r="Q82" s="13"/>
      <c r="R82" s="33">
        <f>IF(P$12=0,0,P82/P$12)</f>
        <v>-8.673964158548074</v>
      </c>
      <c r="S82" s="13"/>
      <c r="T82" s="31">
        <f>SUM(T79:T81)</f>
        <v>-187627.40000000002</v>
      </c>
      <c r="U82" s="13"/>
      <c r="V82" s="33">
        <f>IF(T$12=0,0,T82/T$12)</f>
        <v>-9.7075836406607667</v>
      </c>
      <c r="W82" s="16"/>
      <c r="X82" s="31">
        <f>+P82-T82</f>
        <v>-11764.050000000047</v>
      </c>
      <c r="Y82" s="16"/>
      <c r="Z82" s="33">
        <f>IF(T82=0,0,X82/T82)</f>
        <v>6.2698998120743796E-2</v>
      </c>
    </row>
    <row r="83" spans="1:26" ht="15" thickTop="1" x14ac:dyDescent="0.3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3">
      <c r="A84" s="9"/>
      <c r="B84" s="59">
        <v>44462.666882291669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3">
      <c r="A85" s="9"/>
      <c r="B85" s="57" t="s">
        <v>56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3">
      <c r="A86" s="9"/>
      <c r="B86" s="61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3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20675.600000000002</v>
      </c>
      <c r="E18" s="19"/>
      <c r="F18" s="35">
        <f t="shared" ref="F18:F27" si="0">IF(D$12=0,0,D18/D$12)</f>
        <v>0</v>
      </c>
      <c r="G18" s="19"/>
      <c r="H18" s="19">
        <f>SUM(OSRRefH22x_0)</f>
        <v>21521.99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-846.38999999999942</v>
      </c>
      <c r="M18" s="4"/>
      <c r="N18" s="35">
        <f t="shared" ref="N18:N27" si="3">IF(H18=0,0,L18/H18)</f>
        <v>-3.9326753706325455E-2</v>
      </c>
      <c r="O18" s="10"/>
      <c r="P18" s="19">
        <f>SUM(OSRRefP22x_0)</f>
        <v>20675.600000000002</v>
      </c>
      <c r="Q18" s="19"/>
      <c r="R18" s="35">
        <f t="shared" ref="R18:R27" si="4">IF(P$12=0,0,P18/P$12)</f>
        <v>0</v>
      </c>
      <c r="S18" s="19"/>
      <c r="T18" s="19">
        <f>SUM(OSRRefT22x_0)</f>
        <v>21521.99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-846.38999999999942</v>
      </c>
      <c r="Y18" s="4"/>
      <c r="Z18" s="35">
        <f t="shared" ref="Z18:Z27" si="7">IF(T18=0,0,X18/T18)</f>
        <v>-3.9326753706325455E-2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5748.06</v>
      </c>
      <c r="E19" s="1"/>
      <c r="F19" s="5">
        <f t="shared" si="0"/>
        <v>0</v>
      </c>
      <c r="G19" s="1"/>
      <c r="H19" s="1">
        <f>SUM(OSRRefH22_0x_0)</f>
        <v>5333.25</v>
      </c>
      <c r="I19" s="1"/>
      <c r="J19" s="5">
        <f t="shared" si="1"/>
        <v>0</v>
      </c>
      <c r="K19" s="1"/>
      <c r="L19" s="1">
        <f t="shared" si="2"/>
        <v>414.8100000000004</v>
      </c>
      <c r="M19" s="1"/>
      <c r="N19" s="5">
        <f t="shared" si="3"/>
        <v>7.7778090282660736E-2</v>
      </c>
      <c r="O19" s="14"/>
      <c r="P19" s="1">
        <f>SUM(OSRRefP22_0x_0)</f>
        <v>5748.06</v>
      </c>
      <c r="Q19" s="1"/>
      <c r="R19" s="5">
        <f t="shared" si="4"/>
        <v>0</v>
      </c>
      <c r="S19" s="1"/>
      <c r="T19" s="1">
        <f>SUM(OSRRefT22_0x_0)</f>
        <v>5333.25</v>
      </c>
      <c r="U19" s="1"/>
      <c r="V19" s="5">
        <f t="shared" si="5"/>
        <v>0</v>
      </c>
      <c r="W19" s="1"/>
      <c r="X19" s="1">
        <f t="shared" si="6"/>
        <v>414.8100000000004</v>
      </c>
      <c r="Y19" s="1"/>
      <c r="Z19" s="5">
        <f t="shared" si="7"/>
        <v>7.7778090282660736E-2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685.42</v>
      </c>
      <c r="E20" s="3"/>
      <c r="F20" s="7">
        <f t="shared" si="0"/>
        <v>0</v>
      </c>
      <c r="G20" s="3"/>
      <c r="H20" s="8">
        <v>685.42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685.42</v>
      </c>
      <c r="Q20" s="3"/>
      <c r="R20" s="7">
        <f t="shared" si="4"/>
        <v>0</v>
      </c>
      <c r="S20" s="3"/>
      <c r="T20" s="8">
        <v>685.42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322.54000000000002</v>
      </c>
      <c r="E21" s="3"/>
      <c r="F21" s="7">
        <f t="shared" si="0"/>
        <v>0</v>
      </c>
      <c r="G21" s="3"/>
      <c r="H21" s="8">
        <v>384.36</v>
      </c>
      <c r="I21" s="3"/>
      <c r="J21" s="7">
        <f t="shared" si="1"/>
        <v>0</v>
      </c>
      <c r="K21" s="3"/>
      <c r="L21" s="8">
        <f t="shared" si="2"/>
        <v>-61.819999999999993</v>
      </c>
      <c r="M21" s="3"/>
      <c r="N21" s="7">
        <f t="shared" si="3"/>
        <v>-0.1608387969611822</v>
      </c>
      <c r="O21" s="12"/>
      <c r="P21" s="8">
        <v>322.54000000000002</v>
      </c>
      <c r="Q21" s="3"/>
      <c r="R21" s="7">
        <f t="shared" si="4"/>
        <v>0</v>
      </c>
      <c r="S21" s="3"/>
      <c r="T21" s="8">
        <v>384.36</v>
      </c>
      <c r="U21" s="3"/>
      <c r="V21" s="7">
        <f t="shared" si="5"/>
        <v>0</v>
      </c>
      <c r="W21" s="3"/>
      <c r="X21" s="8">
        <f t="shared" si="6"/>
        <v>-61.819999999999993</v>
      </c>
      <c r="Y21" s="3"/>
      <c r="Z21" s="7">
        <f t="shared" si="7"/>
        <v>-0.1608387969611822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2687.98</v>
      </c>
      <c r="E22" s="3"/>
      <c r="F22" s="7">
        <f t="shared" si="0"/>
        <v>0</v>
      </c>
      <c r="G22" s="3"/>
      <c r="H22" s="8">
        <v>2737.9</v>
      </c>
      <c r="I22" s="3"/>
      <c r="J22" s="7">
        <f t="shared" si="1"/>
        <v>0</v>
      </c>
      <c r="K22" s="3"/>
      <c r="L22" s="8">
        <f t="shared" si="2"/>
        <v>-49.920000000000073</v>
      </c>
      <c r="M22" s="3"/>
      <c r="N22" s="7">
        <f t="shared" si="3"/>
        <v>-1.8232952262683105E-2</v>
      </c>
      <c r="O22" s="12"/>
      <c r="P22" s="8">
        <v>2687.98</v>
      </c>
      <c r="Q22" s="3"/>
      <c r="R22" s="7">
        <f t="shared" si="4"/>
        <v>0</v>
      </c>
      <c r="S22" s="3"/>
      <c r="T22" s="8">
        <v>2737.9</v>
      </c>
      <c r="U22" s="3"/>
      <c r="V22" s="7">
        <f t="shared" si="5"/>
        <v>0</v>
      </c>
      <c r="W22" s="3"/>
      <c r="X22" s="8">
        <f t="shared" si="6"/>
        <v>-49.920000000000073</v>
      </c>
      <c r="Y22" s="3"/>
      <c r="Z22" s="7">
        <f t="shared" si="7"/>
        <v>-1.8232952262683105E-2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23.29</v>
      </c>
      <c r="E23" s="3"/>
      <c r="F23" s="7">
        <f t="shared" si="0"/>
        <v>0</v>
      </c>
      <c r="G23" s="3"/>
      <c r="H23" s="8">
        <v>23.29</v>
      </c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>
        <v>23.29</v>
      </c>
      <c r="Q23" s="3"/>
      <c r="R23" s="7">
        <f t="shared" si="4"/>
        <v>0</v>
      </c>
      <c r="S23" s="3"/>
      <c r="T23" s="8">
        <v>23.29</v>
      </c>
      <c r="U23" s="3"/>
      <c r="V23" s="7">
        <f t="shared" si="5"/>
        <v>0</v>
      </c>
      <c r="W23" s="3"/>
      <c r="X23" s="8">
        <f t="shared" si="6"/>
        <v>0</v>
      </c>
      <c r="Y23" s="3"/>
      <c r="Z23" s="7">
        <f t="shared" si="7"/>
        <v>0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680.03</v>
      </c>
      <c r="E24" s="3"/>
      <c r="F24" s="7">
        <f t="shared" si="0"/>
        <v>0</v>
      </c>
      <c r="G24" s="3"/>
      <c r="H24" s="8">
        <v>1038.8599999999999</v>
      </c>
      <c r="I24" s="3"/>
      <c r="J24" s="7">
        <f t="shared" si="1"/>
        <v>0</v>
      </c>
      <c r="K24" s="3"/>
      <c r="L24" s="8">
        <f t="shared" si="2"/>
        <v>-358.82999999999993</v>
      </c>
      <c r="M24" s="3"/>
      <c r="N24" s="7">
        <f t="shared" si="3"/>
        <v>-0.34540746587605642</v>
      </c>
      <c r="O24" s="12"/>
      <c r="P24" s="8">
        <v>680.03</v>
      </c>
      <c r="Q24" s="3"/>
      <c r="R24" s="7">
        <f t="shared" si="4"/>
        <v>0</v>
      </c>
      <c r="S24" s="3"/>
      <c r="T24" s="8">
        <v>1038.8599999999999</v>
      </c>
      <c r="U24" s="3"/>
      <c r="V24" s="7">
        <f t="shared" si="5"/>
        <v>0</v>
      </c>
      <c r="W24" s="3"/>
      <c r="X24" s="8">
        <f t="shared" si="6"/>
        <v>-358.82999999999993</v>
      </c>
      <c r="Y24" s="3"/>
      <c r="Z24" s="7">
        <f t="shared" si="7"/>
        <v>-0.34540746587605642</v>
      </c>
    </row>
    <row r="25" spans="1:26" s="24" customFormat="1" hidden="1" outlineLevel="2" x14ac:dyDescent="0.3">
      <c r="A25" s="27"/>
      <c r="B25" s="12" t="str">
        <f>CONCATENATE("          ", "6118", " - ", "VACATION")</f>
        <v xml:space="preserve">          6118 - VACATION</v>
      </c>
      <c r="C25" s="12"/>
      <c r="D25" s="8">
        <v>827.64</v>
      </c>
      <c r="E25" s="3"/>
      <c r="F25" s="7">
        <f t="shared" si="0"/>
        <v>0</v>
      </c>
      <c r="G25" s="3"/>
      <c r="H25" s="8">
        <v>34.159999999999997</v>
      </c>
      <c r="I25" s="3"/>
      <c r="J25" s="7">
        <f t="shared" si="1"/>
        <v>0</v>
      </c>
      <c r="K25" s="3"/>
      <c r="L25" s="8">
        <f t="shared" si="2"/>
        <v>793.48</v>
      </c>
      <c r="M25" s="3"/>
      <c r="N25" s="7">
        <f t="shared" si="3"/>
        <v>23.22833723653396</v>
      </c>
      <c r="O25" s="12"/>
      <c r="P25" s="8">
        <v>827.64</v>
      </c>
      <c r="Q25" s="3"/>
      <c r="R25" s="7">
        <f t="shared" si="4"/>
        <v>0</v>
      </c>
      <c r="S25" s="3"/>
      <c r="T25" s="8">
        <v>34.159999999999997</v>
      </c>
      <c r="U25" s="3"/>
      <c r="V25" s="7">
        <f t="shared" si="5"/>
        <v>0</v>
      </c>
      <c r="W25" s="3"/>
      <c r="X25" s="8">
        <f t="shared" si="6"/>
        <v>793.48</v>
      </c>
      <c r="Y25" s="3"/>
      <c r="Z25" s="7">
        <f t="shared" si="7"/>
        <v>23.22833723653396</v>
      </c>
    </row>
    <row r="26" spans="1:26" s="24" customFormat="1" hidden="1" outlineLevel="2" x14ac:dyDescent="0.3">
      <c r="A26" s="27"/>
      <c r="B26" s="12" t="str">
        <f>CONCATENATE("          ", "6119", " - ", "SICK LEAVE")</f>
        <v xml:space="preserve">          6119 - SICK LEAVE</v>
      </c>
      <c r="C26" s="12"/>
      <c r="D26" s="8">
        <v>413.26</v>
      </c>
      <c r="E26" s="3"/>
      <c r="F26" s="7">
        <f t="shared" si="0"/>
        <v>0</v>
      </c>
      <c r="G26" s="3"/>
      <c r="H26" s="8">
        <v>413.26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413.26</v>
      </c>
      <c r="Q26" s="3"/>
      <c r="R26" s="7">
        <f t="shared" si="4"/>
        <v>0</v>
      </c>
      <c r="S26" s="3"/>
      <c r="T26" s="8">
        <v>413.26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24" customFormat="1" hidden="1" outlineLevel="2" x14ac:dyDescent="0.3">
      <c r="A27" s="27"/>
      <c r="B27" s="12" t="str">
        <f>CONCATENATE("          ", "6156", " - ", "EMPLOYEE MEALS")</f>
        <v xml:space="preserve">          6156 - EMPLOYEE MEALS</v>
      </c>
      <c r="C27" s="12"/>
      <c r="D27" s="8">
        <v>107.9</v>
      </c>
      <c r="E27" s="3"/>
      <c r="F27" s="7">
        <f t="shared" si="0"/>
        <v>0</v>
      </c>
      <c r="G27" s="3"/>
      <c r="H27" s="8">
        <v>16</v>
      </c>
      <c r="I27" s="3"/>
      <c r="J27" s="7">
        <f t="shared" si="1"/>
        <v>0</v>
      </c>
      <c r="K27" s="3"/>
      <c r="L27" s="8">
        <f t="shared" si="2"/>
        <v>91.9</v>
      </c>
      <c r="M27" s="3"/>
      <c r="N27" s="7">
        <f t="shared" si="3"/>
        <v>5.7437500000000004</v>
      </c>
      <c r="O27" s="12"/>
      <c r="P27" s="8">
        <v>107.9</v>
      </c>
      <c r="Q27" s="3"/>
      <c r="R27" s="7">
        <f t="shared" si="4"/>
        <v>0</v>
      </c>
      <c r="S27" s="3"/>
      <c r="T27" s="8">
        <v>16</v>
      </c>
      <c r="U27" s="3"/>
      <c r="V27" s="7">
        <f t="shared" si="5"/>
        <v>0</v>
      </c>
      <c r="W27" s="3"/>
      <c r="X27" s="8">
        <f t="shared" si="6"/>
        <v>91.9</v>
      </c>
      <c r="Y27" s="3"/>
      <c r="Z27" s="7">
        <f t="shared" si="7"/>
        <v>5.7437500000000004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11199.54</v>
      </c>
      <c r="E28" s="1"/>
      <c r="F28" s="5">
        <f t="shared" ref="F28:F37" si="8">IF(D$12=0,0,D28/D$12)</f>
        <v>0</v>
      </c>
      <c r="G28" s="1"/>
      <c r="H28" s="1">
        <f>SUM(OSRRefH22_1x_0)</f>
        <v>11199.54</v>
      </c>
      <c r="I28" s="1"/>
      <c r="J28" s="5">
        <f t="shared" ref="J28:J37" si="9">IF(H$12=0,0,H28/H$12)</f>
        <v>0</v>
      </c>
      <c r="K28" s="1"/>
      <c r="L28" s="1">
        <f t="shared" ref="L28:L37" si="10">+D28-H28</f>
        <v>0</v>
      </c>
      <c r="M28" s="1"/>
      <c r="N28" s="5">
        <f t="shared" ref="N28:N37" si="11">IF(H28=0,0,L28/H28)</f>
        <v>0</v>
      </c>
      <c r="O28" s="14"/>
      <c r="P28" s="1">
        <f>SUM(OSRRefP22_1x_0)</f>
        <v>11199.54</v>
      </c>
      <c r="Q28" s="1"/>
      <c r="R28" s="5">
        <f t="shared" ref="R28:R37" si="12">IF(P$12=0,0,P28/P$12)</f>
        <v>0</v>
      </c>
      <c r="S28" s="1"/>
      <c r="T28" s="1">
        <f>SUM(OSRRefT22_1x_0)</f>
        <v>11199.54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0</v>
      </c>
      <c r="Y28" s="1"/>
      <c r="Z28" s="5">
        <f t="shared" ref="Z28:Z37" si="15">IF(T28=0,0,X28/T28)</f>
        <v>0</v>
      </c>
    </row>
    <row r="29" spans="1:26" s="24" customFormat="1" hidden="1" outlineLevel="2" x14ac:dyDescent="0.3">
      <c r="A29" s="27"/>
      <c r="B29" s="12" t="str">
        <f>CONCATENATE("          ", "6001", " - ", "ADMINISTRATIVE SALARIES")</f>
        <v xml:space="preserve">          6001 - ADMINISTRATIVE SALARIES</v>
      </c>
      <c r="C29" s="12"/>
      <c r="D29" s="8">
        <v>11199.54</v>
      </c>
      <c r="E29" s="3"/>
      <c r="F29" s="7">
        <f t="shared" si="8"/>
        <v>0</v>
      </c>
      <c r="G29" s="3"/>
      <c r="H29" s="8">
        <v>11199.54</v>
      </c>
      <c r="I29" s="3"/>
      <c r="J29" s="7">
        <f t="shared" si="9"/>
        <v>0</v>
      </c>
      <c r="K29" s="3"/>
      <c r="L29" s="8">
        <f t="shared" si="10"/>
        <v>0</v>
      </c>
      <c r="M29" s="3"/>
      <c r="N29" s="7">
        <f t="shared" si="11"/>
        <v>0</v>
      </c>
      <c r="O29" s="12"/>
      <c r="P29" s="8">
        <v>11199.54</v>
      </c>
      <c r="Q29" s="3"/>
      <c r="R29" s="7">
        <f t="shared" si="12"/>
        <v>0</v>
      </c>
      <c r="S29" s="3"/>
      <c r="T29" s="8">
        <v>11199.54</v>
      </c>
      <c r="U29" s="3"/>
      <c r="V29" s="7">
        <f t="shared" si="13"/>
        <v>0</v>
      </c>
      <c r="W29" s="3"/>
      <c r="X29" s="8">
        <f t="shared" si="14"/>
        <v>0</v>
      </c>
      <c r="Y29" s="3"/>
      <c r="Z29" s="7">
        <f t="shared" si="15"/>
        <v>0</v>
      </c>
    </row>
    <row r="30" spans="1:26" s="29" customFormat="1" outlineLevel="1" collapsed="1" x14ac:dyDescent="0.3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170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170</v>
      </c>
      <c r="M30" s="1"/>
      <c r="N30" s="5">
        <f t="shared" si="11"/>
        <v>0</v>
      </c>
      <c r="O30" s="14"/>
      <c r="P30" s="1">
        <f>SUM(OSRRefP22_2x_0)</f>
        <v>170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170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2" t="str">
        <f>CONCATENATE("          ", "6279", " - ", "GENERAL EXPENSE")</f>
        <v xml:space="preserve">          6279 - GENERAL EXPENSE</v>
      </c>
      <c r="C31" s="12"/>
      <c r="D31" s="8">
        <v>170</v>
      </c>
      <c r="E31" s="3"/>
      <c r="F31" s="7">
        <f t="shared" si="8"/>
        <v>0</v>
      </c>
      <c r="G31" s="3"/>
      <c r="H31" s="8"/>
      <c r="I31" s="3"/>
      <c r="J31" s="7">
        <f t="shared" si="9"/>
        <v>0</v>
      </c>
      <c r="K31" s="3"/>
      <c r="L31" s="8">
        <f t="shared" si="10"/>
        <v>170</v>
      </c>
      <c r="M31" s="3"/>
      <c r="N31" s="7">
        <f t="shared" si="11"/>
        <v>0</v>
      </c>
      <c r="O31" s="12"/>
      <c r="P31" s="8">
        <v>170</v>
      </c>
      <c r="Q31" s="3"/>
      <c r="R31" s="7">
        <f t="shared" si="12"/>
        <v>0</v>
      </c>
      <c r="S31" s="3"/>
      <c r="T31" s="8"/>
      <c r="U31" s="3"/>
      <c r="V31" s="7">
        <f t="shared" si="13"/>
        <v>0</v>
      </c>
      <c r="W31" s="3"/>
      <c r="X31" s="8">
        <f t="shared" si="14"/>
        <v>170</v>
      </c>
      <c r="Y31" s="3"/>
      <c r="Z31" s="7">
        <f t="shared" si="15"/>
        <v>0</v>
      </c>
    </row>
    <row r="32" spans="1:26" s="29" customFormat="1" outlineLevel="1" collapsed="1" x14ac:dyDescent="0.3">
      <c r="A32" s="28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4"/>
      <c r="P32" s="1">
        <f>SUM(OSRRefP22_3x_0)</f>
        <v>3500</v>
      </c>
      <c r="Q32" s="1"/>
      <c r="R32" s="5">
        <f t="shared" si="12"/>
        <v>0</v>
      </c>
      <c r="S32" s="1"/>
      <c r="T32" s="1">
        <f>SUM(OSRRefT22_3x_0)</f>
        <v>0</v>
      </c>
      <c r="U32" s="1"/>
      <c r="V32" s="5">
        <f t="shared" si="13"/>
        <v>0</v>
      </c>
      <c r="W32" s="1"/>
      <c r="X32" s="1">
        <f t="shared" si="14"/>
        <v>3500</v>
      </c>
      <c r="Y32" s="1"/>
      <c r="Z32" s="5">
        <f t="shared" si="15"/>
        <v>0</v>
      </c>
    </row>
    <row r="33" spans="1:26" s="24" customFormat="1" hidden="1" outlineLevel="2" x14ac:dyDescent="0.3">
      <c r="A33" s="27"/>
      <c r="B33" s="12" t="str">
        <f>CONCATENATE("          ", "6371", " - ", "COMPUTER SOFTWARE MAINTENANCE")</f>
        <v xml:space="preserve">          6371 - COMPUTER SOFTWARE MAINTENANCE</v>
      </c>
      <c r="C33" s="12"/>
      <c r="D33" s="8">
        <v>3500</v>
      </c>
      <c r="E33" s="3"/>
      <c r="F33" s="7">
        <f t="shared" si="8"/>
        <v>0</v>
      </c>
      <c r="G33" s="3"/>
      <c r="H33" s="8"/>
      <c r="I33" s="3"/>
      <c r="J33" s="7">
        <f t="shared" si="9"/>
        <v>0</v>
      </c>
      <c r="K33" s="3"/>
      <c r="L33" s="8">
        <f t="shared" si="10"/>
        <v>3500</v>
      </c>
      <c r="M33" s="3"/>
      <c r="N33" s="7">
        <f t="shared" si="11"/>
        <v>0</v>
      </c>
      <c r="O33" s="12"/>
      <c r="P33" s="8">
        <v>3500</v>
      </c>
      <c r="Q33" s="3"/>
      <c r="R33" s="7">
        <f t="shared" si="12"/>
        <v>0</v>
      </c>
      <c r="S33" s="3"/>
      <c r="T33" s="8"/>
      <c r="U33" s="3"/>
      <c r="V33" s="7">
        <f t="shared" si="13"/>
        <v>0</v>
      </c>
      <c r="W33" s="3"/>
      <c r="X33" s="8">
        <f t="shared" si="14"/>
        <v>3500</v>
      </c>
      <c r="Y33" s="3"/>
      <c r="Z33" s="7">
        <f t="shared" si="15"/>
        <v>0</v>
      </c>
    </row>
    <row r="34" spans="1:26" s="29" customFormat="1" outlineLevel="1" collapsed="1" x14ac:dyDescent="0.3">
      <c r="A34" s="28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4939.2</v>
      </c>
      <c r="I34" s="1"/>
      <c r="J34" s="5">
        <f t="shared" si="9"/>
        <v>0</v>
      </c>
      <c r="K34" s="1"/>
      <c r="L34" s="1">
        <f t="shared" si="10"/>
        <v>-4939.2</v>
      </c>
      <c r="M34" s="1"/>
      <c r="N34" s="5">
        <f t="shared" si="11"/>
        <v>-1</v>
      </c>
      <c r="O34" s="14"/>
      <c r="P34" s="1">
        <f>SUM(OSRRefP22_4x_0)</f>
        <v>0</v>
      </c>
      <c r="Q34" s="1"/>
      <c r="R34" s="5">
        <f t="shared" si="12"/>
        <v>0</v>
      </c>
      <c r="S34" s="1"/>
      <c r="T34" s="1">
        <f>SUM(OSRRefT22_4x_0)</f>
        <v>4939.2</v>
      </c>
      <c r="U34" s="1"/>
      <c r="V34" s="5">
        <f t="shared" si="13"/>
        <v>0</v>
      </c>
      <c r="W34" s="1"/>
      <c r="X34" s="1">
        <f t="shared" si="14"/>
        <v>-4939.2</v>
      </c>
      <c r="Y34" s="1"/>
      <c r="Z34" s="5">
        <f t="shared" si="15"/>
        <v>-1</v>
      </c>
    </row>
    <row r="35" spans="1:26" s="24" customFormat="1" hidden="1" outlineLevel="2" x14ac:dyDescent="0.3">
      <c r="A35" s="27"/>
      <c r="B35" s="12" t="str">
        <f>CONCATENATE("          ", "6235", " - ", "COVID-19 EXPENSES")</f>
        <v xml:space="preserve">          6235 - COVID-19 EXPENSES</v>
      </c>
      <c r="C35" s="12"/>
      <c r="D35" s="8"/>
      <c r="E35" s="3"/>
      <c r="F35" s="7">
        <f t="shared" si="8"/>
        <v>0</v>
      </c>
      <c r="G35" s="3"/>
      <c r="H35" s="8">
        <v>4939.2</v>
      </c>
      <c r="I35" s="3"/>
      <c r="J35" s="7">
        <f t="shared" si="9"/>
        <v>0</v>
      </c>
      <c r="K35" s="3"/>
      <c r="L35" s="8">
        <f t="shared" si="10"/>
        <v>-4939.2</v>
      </c>
      <c r="M35" s="3"/>
      <c r="N35" s="7">
        <f t="shared" si="11"/>
        <v>-1</v>
      </c>
      <c r="O35" s="12"/>
      <c r="P35" s="8"/>
      <c r="Q35" s="3"/>
      <c r="R35" s="7">
        <f t="shared" si="12"/>
        <v>0</v>
      </c>
      <c r="S35" s="3"/>
      <c r="T35" s="8">
        <v>4939.2</v>
      </c>
      <c r="U35" s="3"/>
      <c r="V35" s="7">
        <f t="shared" si="13"/>
        <v>0</v>
      </c>
      <c r="W35" s="3"/>
      <c r="X35" s="8">
        <f t="shared" si="14"/>
        <v>-4939.2</v>
      </c>
      <c r="Y35" s="3"/>
      <c r="Z35" s="7">
        <f t="shared" si="15"/>
        <v>-1</v>
      </c>
    </row>
    <row r="36" spans="1:26" s="29" customFormat="1" outlineLevel="1" collapsed="1" x14ac:dyDescent="0.3">
      <c r="A36" s="28"/>
      <c r="B36" s="14" t="str">
        <f>CONCATENATE("     ","Telephone/Data Lines                              ")</f>
        <v xml:space="preserve">     Telephone/Data Lines                              </v>
      </c>
      <c r="C36" s="14"/>
      <c r="D36" s="1">
        <f>SUM(OSRRefD22_5x_0)</f>
        <v>58</v>
      </c>
      <c r="E36" s="1"/>
      <c r="F36" s="5">
        <f t="shared" si="8"/>
        <v>0</v>
      </c>
      <c r="G36" s="1"/>
      <c r="H36" s="1">
        <f>SUM(OSRRefH22_5x_0)</f>
        <v>50</v>
      </c>
      <c r="I36" s="1"/>
      <c r="J36" s="5">
        <f t="shared" si="9"/>
        <v>0</v>
      </c>
      <c r="K36" s="1"/>
      <c r="L36" s="1">
        <f t="shared" si="10"/>
        <v>8</v>
      </c>
      <c r="M36" s="1"/>
      <c r="N36" s="5">
        <f t="shared" si="11"/>
        <v>0.16</v>
      </c>
      <c r="O36" s="14"/>
      <c r="P36" s="1">
        <f>SUM(OSRRefP22_5x_0)</f>
        <v>58</v>
      </c>
      <c r="Q36" s="1"/>
      <c r="R36" s="5">
        <f t="shared" si="12"/>
        <v>0</v>
      </c>
      <c r="S36" s="1"/>
      <c r="T36" s="1">
        <f>SUM(OSRRefT22_5x_0)</f>
        <v>50</v>
      </c>
      <c r="U36" s="1"/>
      <c r="V36" s="5">
        <f t="shared" si="13"/>
        <v>0</v>
      </c>
      <c r="W36" s="1"/>
      <c r="X36" s="1">
        <f t="shared" si="14"/>
        <v>8</v>
      </c>
      <c r="Y36" s="1"/>
      <c r="Z36" s="5">
        <f t="shared" si="15"/>
        <v>0.16</v>
      </c>
    </row>
    <row r="37" spans="1:26" s="24" customFormat="1" hidden="1" outlineLevel="2" x14ac:dyDescent="0.3">
      <c r="A37" s="27"/>
      <c r="B37" s="12" t="str">
        <f>CONCATENATE("          ", "6309", " - ", "TELEPHONE")</f>
        <v xml:space="preserve">          6309 - TELEPHONE</v>
      </c>
      <c r="C37" s="12"/>
      <c r="D37" s="8">
        <v>58</v>
      </c>
      <c r="E37" s="3"/>
      <c r="F37" s="7">
        <f t="shared" si="8"/>
        <v>0</v>
      </c>
      <c r="G37" s="3"/>
      <c r="H37" s="8">
        <v>50</v>
      </c>
      <c r="I37" s="3"/>
      <c r="J37" s="7">
        <f t="shared" si="9"/>
        <v>0</v>
      </c>
      <c r="K37" s="3"/>
      <c r="L37" s="8">
        <f t="shared" si="10"/>
        <v>8</v>
      </c>
      <c r="M37" s="3"/>
      <c r="N37" s="7">
        <f t="shared" si="11"/>
        <v>0.16</v>
      </c>
      <c r="O37" s="12"/>
      <c r="P37" s="8">
        <v>58</v>
      </c>
      <c r="Q37" s="3"/>
      <c r="R37" s="7">
        <f t="shared" si="12"/>
        <v>0</v>
      </c>
      <c r="S37" s="3"/>
      <c r="T37" s="8">
        <v>50</v>
      </c>
      <c r="U37" s="3"/>
      <c r="V37" s="7">
        <f t="shared" si="13"/>
        <v>0</v>
      </c>
      <c r="W37" s="3"/>
      <c r="X37" s="8">
        <f t="shared" si="14"/>
        <v>8</v>
      </c>
      <c r="Y37" s="3"/>
      <c r="Z37" s="7">
        <f t="shared" si="15"/>
        <v>0.16</v>
      </c>
    </row>
    <row r="38" spans="1:26" s="53" customFormat="1" x14ac:dyDescent="0.3">
      <c r="A38" s="37"/>
      <c r="B38" s="37"/>
      <c r="C38" s="37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3">
      <c r="A39" s="10"/>
      <c r="B39" s="25" t="s">
        <v>292</v>
      </c>
      <c r="C39" s="10"/>
      <c r="D39" s="4">
        <f>SUM(0)</f>
        <v>0</v>
      </c>
      <c r="E39" s="4"/>
      <c r="F39" s="11">
        <f>IF(D$12=0,0,D39/D$12)</f>
        <v>0</v>
      </c>
      <c r="G39" s="4"/>
      <c r="H39" s="4">
        <f>SUM(0)</f>
        <v>0</v>
      </c>
      <c r="I39" s="4"/>
      <c r="J39" s="11">
        <f>IF(H$12=0,0,H39/H$12)</f>
        <v>0</v>
      </c>
      <c r="K39" s="4"/>
      <c r="L39" s="4">
        <f>+D39-H39</f>
        <v>0</v>
      </c>
      <c r="M39" s="4"/>
      <c r="N39" s="11">
        <f>IF(H39=0,0,L39/H39)</f>
        <v>0</v>
      </c>
      <c r="O39" s="10"/>
      <c r="P39" s="4">
        <f>SUM(0)</f>
        <v>0</v>
      </c>
      <c r="Q39" s="4"/>
      <c r="R39" s="11">
        <f>IF(P$12=0,0,P39/P$12)</f>
        <v>0</v>
      </c>
      <c r="S39" s="4"/>
      <c r="T39" s="4">
        <f>SUM(0)</f>
        <v>0</v>
      </c>
      <c r="U39" s="4"/>
      <c r="V39" s="11">
        <f>IF(T$12=0,0,T39/T$12)</f>
        <v>0</v>
      </c>
      <c r="W39" s="4"/>
      <c r="X39" s="4">
        <f>+P39-T39</f>
        <v>0</v>
      </c>
      <c r="Y39" s="4"/>
      <c r="Z39" s="11">
        <f>IF(T39=0,0,X39/T39)</f>
        <v>0</v>
      </c>
    </row>
    <row r="40" spans="1:26" x14ac:dyDescent="0.3">
      <c r="A40" s="9"/>
      <c r="B40" s="10"/>
      <c r="C40" s="10"/>
      <c r="D40" s="2"/>
      <c r="E40" s="2"/>
      <c r="F40" s="6"/>
      <c r="G40" s="2"/>
      <c r="H40" s="2"/>
      <c r="I40" s="2"/>
      <c r="J40" s="6"/>
      <c r="K40" s="2"/>
      <c r="L40" s="2"/>
      <c r="M40" s="2"/>
      <c r="N40" s="6"/>
      <c r="O40" s="10"/>
      <c r="P40" s="2"/>
      <c r="Q40" s="2"/>
      <c r="R40" s="6"/>
      <c r="S40" s="2"/>
      <c r="T40" s="2"/>
      <c r="U40" s="2"/>
      <c r="V40" s="6"/>
      <c r="W40" s="2"/>
      <c r="X40" s="2"/>
      <c r="Y40" s="2"/>
      <c r="Z40" s="6"/>
    </row>
    <row r="41" spans="1:26" s="23" customFormat="1" x14ac:dyDescent="0.3">
      <c r="A41" s="10"/>
      <c r="B41" s="26" t="s">
        <v>276</v>
      </c>
      <c r="C41" s="26"/>
      <c r="D41" s="20">
        <f>+D16-D18+D39</f>
        <v>-20675.600000000002</v>
      </c>
      <c r="E41" s="13"/>
      <c r="F41" s="21">
        <f>IF(D$12=0,0,D41/D$12)</f>
        <v>0</v>
      </c>
      <c r="G41" s="13"/>
      <c r="H41" s="20">
        <f>+H16-H18+H39</f>
        <v>-21521.99</v>
      </c>
      <c r="I41" s="13"/>
      <c r="J41" s="21">
        <f>IF(H$12=0,0,H41/H$12)</f>
        <v>0</v>
      </c>
      <c r="K41" s="16"/>
      <c r="L41" s="20">
        <f>+D41-H41</f>
        <v>846.38999999999942</v>
      </c>
      <c r="M41" s="16"/>
      <c r="N41" s="21">
        <f>IF(H41=0,0,L41/H41)</f>
        <v>-3.9326753706325455E-2</v>
      </c>
      <c r="O41" s="25"/>
      <c r="P41" s="20">
        <f>+P16-P18+P39</f>
        <v>-20675.600000000002</v>
      </c>
      <c r="Q41" s="13"/>
      <c r="R41" s="21">
        <f>IF(P$12=0,0,P41/P$12)</f>
        <v>0</v>
      </c>
      <c r="S41" s="13"/>
      <c r="T41" s="20">
        <f>+T16-T18+T39</f>
        <v>-21521.99</v>
      </c>
      <c r="U41" s="13"/>
      <c r="V41" s="21">
        <f>IF(T$12=0,0,T41/T$12)</f>
        <v>0</v>
      </c>
      <c r="W41" s="16"/>
      <c r="X41" s="20">
        <f>+P41-T41</f>
        <v>846.38999999999942</v>
      </c>
      <c r="Y41" s="16"/>
      <c r="Z41" s="21">
        <f>IF(T41=0,0,X41/T41)</f>
        <v>-3.9326753706325455E-2</v>
      </c>
    </row>
    <row r="42" spans="1:26" x14ac:dyDescent="0.3">
      <c r="A42" s="9"/>
      <c r="B42" s="10"/>
      <c r="C42" s="9"/>
      <c r="D42" s="2"/>
      <c r="E42" s="2"/>
      <c r="F42" s="6"/>
      <c r="G42" s="2"/>
      <c r="H42" s="2"/>
      <c r="I42" s="2"/>
      <c r="J42" s="6"/>
      <c r="K42" s="2"/>
      <c r="L42" s="2"/>
      <c r="M42" s="2"/>
      <c r="N42" s="6"/>
      <c r="P42" s="2"/>
      <c r="Q42" s="2"/>
      <c r="R42" s="6"/>
      <c r="S42" s="2"/>
      <c r="T42" s="2"/>
      <c r="U42" s="2"/>
      <c r="V42" s="6"/>
      <c r="W42" s="2"/>
      <c r="X42" s="2"/>
      <c r="Y42" s="2"/>
      <c r="Z42" s="6"/>
    </row>
    <row r="43" spans="1:26" s="23" customFormat="1" x14ac:dyDescent="0.3">
      <c r="A43" s="51"/>
      <c r="B43" s="10" t="s">
        <v>127</v>
      </c>
      <c r="C43" s="10"/>
      <c r="D43" s="4"/>
      <c r="E43" s="4"/>
      <c r="F43" s="11">
        <f>IF(D$12=0,0,D43/D$12)</f>
        <v>0</v>
      </c>
      <c r="G43" s="4"/>
      <c r="H43" s="4"/>
      <c r="I43" s="4"/>
      <c r="J43" s="11">
        <f>IF(H$12=0,0,H43/H$12)</f>
        <v>0</v>
      </c>
      <c r="K43" s="4"/>
      <c r="L43" s="4">
        <f>+D43-H43</f>
        <v>0</v>
      </c>
      <c r="M43" s="4"/>
      <c r="N43" s="11">
        <f>IF(H43=0,0,L43/H43)</f>
        <v>0</v>
      </c>
      <c r="O43" s="10"/>
      <c r="P43" s="4"/>
      <c r="Q43" s="4"/>
      <c r="R43" s="11">
        <f>IF(P$12=0,0,P43/P$12)</f>
        <v>0</v>
      </c>
      <c r="S43" s="4"/>
      <c r="T43" s="4"/>
      <c r="U43" s="4"/>
      <c r="V43" s="11">
        <f>IF(T$12=0,0,T43/T$12)</f>
        <v>0</v>
      </c>
      <c r="W43" s="4"/>
      <c r="X43" s="4">
        <f>+P43-T43</f>
        <v>0</v>
      </c>
      <c r="Y43" s="4"/>
      <c r="Z43" s="11">
        <f>IF(T43=0,0,X43/T43)</f>
        <v>0</v>
      </c>
    </row>
    <row r="44" spans="1:26" x14ac:dyDescent="0.3">
      <c r="A44" s="9"/>
      <c r="B44" s="10"/>
      <c r="C44" s="10"/>
      <c r="D44" s="2"/>
      <c r="E44" s="2"/>
      <c r="F44" s="6"/>
      <c r="G44" s="2"/>
      <c r="H44" s="2"/>
      <c r="I44" s="2"/>
      <c r="J44" s="6"/>
      <c r="K44" s="2"/>
      <c r="L44" s="2"/>
      <c r="M44" s="2"/>
      <c r="N44" s="6"/>
      <c r="O44" s="10"/>
      <c r="P44" s="2"/>
      <c r="Q44" s="2"/>
      <c r="R44" s="6"/>
      <c r="S44" s="2"/>
      <c r="T44" s="2"/>
      <c r="U44" s="2"/>
      <c r="V44" s="6"/>
      <c r="W44" s="2"/>
      <c r="X44" s="2"/>
      <c r="Y44" s="2"/>
      <c r="Z44" s="6"/>
    </row>
    <row r="45" spans="1:26" s="23" customFormat="1" ht="15" thickBot="1" x14ac:dyDescent="0.35">
      <c r="A45" s="10"/>
      <c r="B45" s="26" t="s">
        <v>125</v>
      </c>
      <c r="C45" s="26"/>
      <c r="D45" s="36">
        <f>+D41-D43</f>
        <v>-20675.600000000002</v>
      </c>
      <c r="E45" s="13"/>
      <c r="F45" s="34">
        <f>IF(D$12=0,0,D45/D$12)</f>
        <v>0</v>
      </c>
      <c r="G45" s="13"/>
      <c r="H45" s="36">
        <f>+H41-H43</f>
        <v>-21521.99</v>
      </c>
      <c r="I45" s="13"/>
      <c r="J45" s="34">
        <f>IF(H$12=0,0,H45/H$12)</f>
        <v>0</v>
      </c>
      <c r="K45" s="16"/>
      <c r="L45" s="36">
        <f>D45-H45</f>
        <v>846.38999999999942</v>
      </c>
      <c r="M45" s="16"/>
      <c r="N45" s="34">
        <f>IF(H45=0,0,L45/H45)</f>
        <v>-3.9326753706325455E-2</v>
      </c>
      <c r="O45" s="25"/>
      <c r="P45" s="36">
        <f>+P41-P43</f>
        <v>-20675.600000000002</v>
      </c>
      <c r="Q45" s="13"/>
      <c r="R45" s="34">
        <f>IF(P$12=0,0,P45/P$12)</f>
        <v>0</v>
      </c>
      <c r="S45" s="13"/>
      <c r="T45" s="36">
        <f>+T41-T43</f>
        <v>-21521.99</v>
      </c>
      <c r="U45" s="13"/>
      <c r="V45" s="34">
        <f>IF(T$12=0,0,T45/T$12)</f>
        <v>0</v>
      </c>
      <c r="W45" s="16"/>
      <c r="X45" s="36">
        <f>P45-T45</f>
        <v>846.38999999999942</v>
      </c>
      <c r="Y45" s="16"/>
      <c r="Z45" s="34">
        <f>IF(T45=0,0,X45/T45)</f>
        <v>-3.9326753706325455E-2</v>
      </c>
    </row>
    <row r="46" spans="1:26" ht="15" thickTop="1" x14ac:dyDescent="0.3">
      <c r="A46" s="9"/>
      <c r="B46" s="9"/>
      <c r="C46" s="9"/>
      <c r="D46" s="2"/>
      <c r="E46" s="2"/>
      <c r="F46" s="6"/>
      <c r="G46" s="2"/>
      <c r="H46" s="2"/>
      <c r="I46" s="2"/>
      <c r="J46" s="6"/>
      <c r="K46" s="2"/>
      <c r="L46" s="2"/>
      <c r="M46" s="2"/>
      <c r="N46" s="6"/>
      <c r="P46" s="2"/>
      <c r="Q46" s="2"/>
      <c r="R46" s="6"/>
      <c r="S46" s="2"/>
      <c r="T46" s="2"/>
      <c r="U46" s="2"/>
      <c r="V46" s="6"/>
      <c r="W46" s="2"/>
      <c r="X46" s="2"/>
      <c r="Y46" s="2"/>
      <c r="Z46" s="6"/>
    </row>
    <row r="47" spans="1:26" x14ac:dyDescent="0.3">
      <c r="A47" s="9"/>
      <c r="B47" s="9"/>
      <c r="C47" s="9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23" customFormat="1" ht="15" thickBot="1" x14ac:dyDescent="0.35">
      <c r="A48" s="10"/>
      <c r="B48" s="26" t="s">
        <v>293</v>
      </c>
      <c r="C48" s="26"/>
      <c r="D48" s="31">
        <f>SUM(D45:D47)</f>
        <v>-20675.600000000002</v>
      </c>
      <c r="E48" s="13"/>
      <c r="F48" s="33">
        <f>IF(D$12=0,0,D48/D$12)</f>
        <v>0</v>
      </c>
      <c r="G48" s="13"/>
      <c r="H48" s="31">
        <f>SUM(H45:H47)</f>
        <v>-21521.99</v>
      </c>
      <c r="I48" s="13"/>
      <c r="J48" s="33">
        <f>IF(H$12=0,0,H48/H$12)</f>
        <v>0</v>
      </c>
      <c r="K48" s="16"/>
      <c r="L48" s="31">
        <f>+D48-H48</f>
        <v>846.38999999999942</v>
      </c>
      <c r="M48" s="16"/>
      <c r="N48" s="33">
        <f>IF(H48=0,0,L48/H48)</f>
        <v>-3.9326753706325455E-2</v>
      </c>
      <c r="O48" s="25"/>
      <c r="P48" s="31">
        <f>SUM(P45:P47)</f>
        <v>-20675.600000000002</v>
      </c>
      <c r="Q48" s="13"/>
      <c r="R48" s="33">
        <f>IF(P$12=0,0,P48/P$12)</f>
        <v>0</v>
      </c>
      <c r="S48" s="13"/>
      <c r="T48" s="31">
        <f>SUM(T45:T47)</f>
        <v>-21521.99</v>
      </c>
      <c r="U48" s="13"/>
      <c r="V48" s="33">
        <f>IF(T$12=0,0,T48/T$12)</f>
        <v>0</v>
      </c>
      <c r="W48" s="16"/>
      <c r="X48" s="31">
        <f>+P48-T48</f>
        <v>846.38999999999942</v>
      </c>
      <c r="Y48" s="16"/>
      <c r="Z48" s="33">
        <f>IF(T48=0,0,X48/T48)</f>
        <v>-3.9326753706325455E-2</v>
      </c>
    </row>
    <row r="49" spans="1:24" ht="15" thickTop="1" x14ac:dyDescent="0.3">
      <c r="A49" s="9"/>
      <c r="C49" s="9"/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3">
      <c r="A50" s="9"/>
      <c r="B50" s="59">
        <v>44462.666945868055</v>
      </c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3">
      <c r="A51" s="9"/>
      <c r="B51" s="57" t="s">
        <v>56</v>
      </c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4" x14ac:dyDescent="0.3">
      <c r="A52" s="9"/>
      <c r="B52" s="61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4" x14ac:dyDescent="0.3"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0</v>
      </c>
      <c r="E12" s="4"/>
      <c r="F12" s="11"/>
      <c r="G12" s="4"/>
      <c r="H12" s="4">
        <f>SUM(OSRRefH13x_0)</f>
        <v>19327.919999999998</v>
      </c>
      <c r="I12" s="4"/>
      <c r="J12" s="11"/>
      <c r="K12" s="4"/>
      <c r="L12" s="4">
        <f t="shared" ref="L12:L15" si="0">+D12-H12</f>
        <v>-19327.919999999998</v>
      </c>
      <c r="M12" s="4"/>
      <c r="N12" s="11">
        <f t="shared" ref="N12:N15" si="1">IF(H12=0,0,L12/H12)</f>
        <v>-1</v>
      </c>
      <c r="O12" s="10"/>
      <c r="P12" s="4">
        <f>SUM(OSRRefP13x_0)</f>
        <v>0</v>
      </c>
      <c r="Q12" s="4"/>
      <c r="R12" s="11"/>
      <c r="S12" s="4"/>
      <c r="T12" s="4">
        <f>SUM(OSRRefT13x_0)</f>
        <v>19327.919999999998</v>
      </c>
      <c r="U12" s="4"/>
      <c r="V12" s="11"/>
      <c r="W12" s="4"/>
      <c r="X12" s="4">
        <f t="shared" ref="X12:X15" si="2">+P12-T12</f>
        <v>-19327.919999999998</v>
      </c>
      <c r="Y12" s="4"/>
      <c r="Z12" s="11">
        <f t="shared" ref="Z12:Z15" si="3">IF(T12=0,0,X12/T12)</f>
        <v>-1</v>
      </c>
    </row>
    <row r="13" spans="1:26" s="24" customFormat="1" hidden="1" outlineLevel="1" x14ac:dyDescent="0.3">
      <c r="A13" s="50"/>
      <c r="B13" s="12" t="str">
        <f>CONCATENATE("          ", "4053", " - ", "TAXABLE SALES-FOOD")</f>
        <v xml:space="preserve">          4053 - TAXABLE SALES-FOOD</v>
      </c>
      <c r="C13" s="12"/>
      <c r="D13" s="3">
        <f t="shared" ref="D13:D15" si="4">0</f>
        <v>0</v>
      </c>
      <c r="E13" s="3"/>
      <c r="F13" s="22"/>
      <c r="G13" s="3"/>
      <c r="H13" s="3">
        <f>--199.89</f>
        <v>199.89</v>
      </c>
      <c r="I13" s="3"/>
      <c r="J13" s="22"/>
      <c r="K13" s="3"/>
      <c r="L13" s="3">
        <f t="shared" si="0"/>
        <v>-199.89</v>
      </c>
      <c r="M13" s="3"/>
      <c r="N13" s="22">
        <f t="shared" si="1"/>
        <v>-1</v>
      </c>
      <c r="O13" s="12"/>
      <c r="P13" s="3">
        <f t="shared" ref="P13:P15" si="5">0</f>
        <v>0</v>
      </c>
      <c r="Q13" s="3"/>
      <c r="R13" s="22"/>
      <c r="S13" s="3"/>
      <c r="T13" s="3">
        <f>--199.89</f>
        <v>199.89</v>
      </c>
      <c r="U13" s="3"/>
      <c r="V13" s="22"/>
      <c r="W13" s="3"/>
      <c r="X13" s="3">
        <f t="shared" si="2"/>
        <v>-199.89</v>
      </c>
      <c r="Y13" s="3"/>
      <c r="Z13" s="22">
        <f t="shared" si="3"/>
        <v>-1</v>
      </c>
    </row>
    <row r="14" spans="1:26" s="24" customFormat="1" hidden="1" outlineLevel="1" x14ac:dyDescent="0.3">
      <c r="A14" s="50"/>
      <c r="B14" s="12" t="str">
        <f>CONCATENATE("          ", "4151", " - ", "NON-TAXABLE SALES-FOOD")</f>
        <v xml:space="preserve">          4151 - NON-TAXABLE SALES-FOOD</v>
      </c>
      <c r="C14" s="12"/>
      <c r="D14" s="3">
        <f t="shared" si="4"/>
        <v>0</v>
      </c>
      <c r="E14" s="3"/>
      <c r="F14" s="22"/>
      <c r="G14" s="3"/>
      <c r="H14" s="3">
        <f>--1300</f>
        <v>1300</v>
      </c>
      <c r="I14" s="3"/>
      <c r="J14" s="22"/>
      <c r="K14" s="3"/>
      <c r="L14" s="3">
        <f t="shared" si="0"/>
        <v>-1300</v>
      </c>
      <c r="M14" s="3"/>
      <c r="N14" s="22">
        <f t="shared" si="1"/>
        <v>-1</v>
      </c>
      <c r="O14" s="12"/>
      <c r="P14" s="3">
        <f t="shared" si="5"/>
        <v>0</v>
      </c>
      <c r="Q14" s="3"/>
      <c r="R14" s="22"/>
      <c r="S14" s="3"/>
      <c r="T14" s="3">
        <f>--1300</f>
        <v>1300</v>
      </c>
      <c r="U14" s="3"/>
      <c r="V14" s="22"/>
      <c r="W14" s="3"/>
      <c r="X14" s="3">
        <f t="shared" si="2"/>
        <v>-1300</v>
      </c>
      <c r="Y14" s="3"/>
      <c r="Z14" s="22">
        <f t="shared" si="3"/>
        <v>-1</v>
      </c>
    </row>
    <row r="15" spans="1:26" s="24" customFormat="1" hidden="1" outlineLevel="1" x14ac:dyDescent="0.3">
      <c r="A15" s="50"/>
      <c r="B15" s="12" t="str">
        <f>CONCATENATE("          ", "4153", " - ", "NON-TAXABLE SALES-FOOD")</f>
        <v xml:space="preserve">          4153 - NON-TAXABLE SALES-FOOD</v>
      </c>
      <c r="C15" s="12"/>
      <c r="D15" s="3">
        <f t="shared" si="4"/>
        <v>0</v>
      </c>
      <c r="E15" s="3"/>
      <c r="F15" s="22"/>
      <c r="G15" s="3"/>
      <c r="H15" s="3">
        <f>--17828.03</f>
        <v>17828.03</v>
      </c>
      <c r="I15" s="3"/>
      <c r="J15" s="22"/>
      <c r="K15" s="3"/>
      <c r="L15" s="3">
        <f t="shared" si="0"/>
        <v>-17828.03</v>
      </c>
      <c r="M15" s="3"/>
      <c r="N15" s="22">
        <f t="shared" si="1"/>
        <v>-1</v>
      </c>
      <c r="O15" s="12"/>
      <c r="P15" s="3">
        <f t="shared" si="5"/>
        <v>0</v>
      </c>
      <c r="Q15" s="3"/>
      <c r="R15" s="22"/>
      <c r="S15" s="3"/>
      <c r="T15" s="3">
        <f>--17828.03</f>
        <v>17828.03</v>
      </c>
      <c r="U15" s="3"/>
      <c r="V15" s="22"/>
      <c r="W15" s="3"/>
      <c r="X15" s="3">
        <f t="shared" si="2"/>
        <v>-17828.03</v>
      </c>
      <c r="Y15" s="3"/>
      <c r="Z15" s="22">
        <f t="shared" si="3"/>
        <v>-1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0</v>
      </c>
      <c r="E17" s="4"/>
      <c r="F17" s="11">
        <f t="shared" ref="F17:F19" si="6">IF(D$12=0,0,D17/D$12)</f>
        <v>0</v>
      </c>
      <c r="G17" s="4"/>
      <c r="H17" s="4">
        <f>SUM(OSRRefH16x_0)</f>
        <v>11689.62</v>
      </c>
      <c r="I17" s="4"/>
      <c r="J17" s="11">
        <f t="shared" ref="J17:J19" si="7">IF(H$12=0,0,H17/H$12)</f>
        <v>0.60480486260290822</v>
      </c>
      <c r="K17" s="4"/>
      <c r="L17" s="4">
        <f t="shared" ref="L17:L19" si="8">+D17-H17</f>
        <v>-11689.62</v>
      </c>
      <c r="M17" s="4"/>
      <c r="N17" s="11">
        <f t="shared" ref="N17:N19" si="9">IF(H17=0,0,L17/H17)</f>
        <v>-1</v>
      </c>
      <c r="O17" s="10"/>
      <c r="P17" s="4">
        <f>SUM(OSRRefP16x_0)</f>
        <v>0</v>
      </c>
      <c r="Q17" s="4"/>
      <c r="R17" s="11">
        <f t="shared" ref="R17:R19" si="10">IF(P$12=0,0,P17/P$12)</f>
        <v>0</v>
      </c>
      <c r="S17" s="4"/>
      <c r="T17" s="4">
        <f>SUM(OSRRefT16x_0)</f>
        <v>11689.62</v>
      </c>
      <c r="U17" s="4"/>
      <c r="V17" s="11">
        <f t="shared" ref="V17:V19" si="11">IF(T$12=0,0,T17/T$12)</f>
        <v>0.60480486260290822</v>
      </c>
      <c r="W17" s="4"/>
      <c r="X17" s="4">
        <f t="shared" ref="X17:X19" si="12">+P17-T17</f>
        <v>-11689.62</v>
      </c>
      <c r="Y17" s="4"/>
      <c r="Z17" s="11">
        <f t="shared" ref="Z17:Z19" si="13">IF(T17=0,0,X17/T17)</f>
        <v>-1</v>
      </c>
    </row>
    <row r="18" spans="1:26" s="24" customFormat="1" hidden="1" outlineLevel="1" x14ac:dyDescent="0.3">
      <c r="A18" s="50"/>
      <c r="B18" s="12" t="str">
        <f>CONCATENATE("          ", "5053", " - ", "PURCHASES @ COST-FOOD")</f>
        <v xml:space="preserve">          5053 - PURCHASES @ COST-FOOD</v>
      </c>
      <c r="C18" s="12"/>
      <c r="D18" s="3"/>
      <c r="E18" s="3"/>
      <c r="F18" s="22">
        <f t="shared" si="6"/>
        <v>0</v>
      </c>
      <c r="G18" s="3"/>
      <c r="H18" s="3">
        <v>8280.6200000000008</v>
      </c>
      <c r="I18" s="3"/>
      <c r="J18" s="22">
        <f t="shared" si="7"/>
        <v>0.42842789084391913</v>
      </c>
      <c r="K18" s="3"/>
      <c r="L18" s="3">
        <f t="shared" si="8"/>
        <v>-8280.6200000000008</v>
      </c>
      <c r="M18" s="3"/>
      <c r="N18" s="22">
        <f t="shared" si="9"/>
        <v>-1</v>
      </c>
      <c r="O18" s="12"/>
      <c r="P18" s="3"/>
      <c r="Q18" s="3"/>
      <c r="R18" s="22">
        <f t="shared" si="10"/>
        <v>0</v>
      </c>
      <c r="S18" s="3"/>
      <c r="T18" s="3">
        <v>8280.6200000000008</v>
      </c>
      <c r="U18" s="3"/>
      <c r="V18" s="22">
        <f t="shared" si="11"/>
        <v>0.42842789084391913</v>
      </c>
      <c r="W18" s="3"/>
      <c r="X18" s="3">
        <f t="shared" si="12"/>
        <v>-8280.6200000000008</v>
      </c>
      <c r="Y18" s="3"/>
      <c r="Z18" s="22">
        <f t="shared" si="13"/>
        <v>-1</v>
      </c>
    </row>
    <row r="19" spans="1:26" s="24" customFormat="1" hidden="1" outlineLevel="1" x14ac:dyDescent="0.3">
      <c r="A19" s="50"/>
      <c r="B19" s="12" t="str">
        <f>CONCATENATE("          ", "5059", " - ", "PURCHASES @ COST-FOOD")</f>
        <v xml:space="preserve">          5059 - PURCHASES @ COST-FOOD</v>
      </c>
      <c r="C19" s="12"/>
      <c r="D19" s="3"/>
      <c r="E19" s="3"/>
      <c r="F19" s="22">
        <f t="shared" si="6"/>
        <v>0</v>
      </c>
      <c r="G19" s="3"/>
      <c r="H19" s="3">
        <v>3409</v>
      </c>
      <c r="I19" s="3"/>
      <c r="J19" s="22">
        <f t="shared" si="7"/>
        <v>0.17637697175898909</v>
      </c>
      <c r="K19" s="3"/>
      <c r="L19" s="3">
        <f t="shared" si="8"/>
        <v>-3409</v>
      </c>
      <c r="M19" s="3"/>
      <c r="N19" s="22">
        <f t="shared" si="9"/>
        <v>-1</v>
      </c>
      <c r="O19" s="12"/>
      <c r="P19" s="3"/>
      <c r="Q19" s="3"/>
      <c r="R19" s="22">
        <f t="shared" si="10"/>
        <v>0</v>
      </c>
      <c r="S19" s="3"/>
      <c r="T19" s="3">
        <v>3409</v>
      </c>
      <c r="U19" s="3"/>
      <c r="V19" s="22">
        <f t="shared" si="11"/>
        <v>0.17637697175898909</v>
      </c>
      <c r="W19" s="3"/>
      <c r="X19" s="3">
        <f t="shared" si="12"/>
        <v>-3409</v>
      </c>
      <c r="Y19" s="3"/>
      <c r="Z19" s="22">
        <f t="shared" si="13"/>
        <v>-1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107</v>
      </c>
      <c r="C21" s="26"/>
      <c r="D21" s="20">
        <f>D12-D17</f>
        <v>0</v>
      </c>
      <c r="E21" s="13"/>
      <c r="F21" s="21">
        <f>IF(D$12=0,0,D21/D$12)</f>
        <v>0</v>
      </c>
      <c r="G21" s="13"/>
      <c r="H21" s="20">
        <f>H12-H17</f>
        <v>7638.2999999999975</v>
      </c>
      <c r="I21" s="13"/>
      <c r="J21" s="21">
        <f>IF(H$12=0,0,H21/H$12)</f>
        <v>0.39519513739709178</v>
      </c>
      <c r="K21" s="16"/>
      <c r="L21" s="20">
        <f>+D21-H21</f>
        <v>-7638.2999999999975</v>
      </c>
      <c r="M21" s="16"/>
      <c r="N21" s="21">
        <f>IF(H21=0,0,L21/H21)</f>
        <v>-1</v>
      </c>
      <c r="O21" s="25"/>
      <c r="P21" s="20">
        <f>P12-P17</f>
        <v>0</v>
      </c>
      <c r="Q21" s="13"/>
      <c r="R21" s="21">
        <f>IF(P$12=0,0,P21/P$12)</f>
        <v>0</v>
      </c>
      <c r="S21" s="13"/>
      <c r="T21" s="20">
        <f>T12-T17</f>
        <v>7638.2999999999975</v>
      </c>
      <c r="U21" s="13"/>
      <c r="V21" s="21">
        <f>IF(T$12=0,0,T21/T$12)</f>
        <v>0.39519513739709178</v>
      </c>
      <c r="W21" s="16"/>
      <c r="X21" s="20">
        <f>+P21-T21</f>
        <v>-7638.2999999999975</v>
      </c>
      <c r="Y21" s="16"/>
      <c r="Z21" s="21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19">
        <f>SUM(OSRRefD22x_0)</f>
        <v>41498.81</v>
      </c>
      <c r="E23" s="19"/>
      <c r="F23" s="35">
        <f t="shared" ref="F23:F33" si="14">IF(D$12=0,0,D23/D$12)</f>
        <v>0</v>
      </c>
      <c r="G23" s="19"/>
      <c r="H23" s="19">
        <f>SUM(OSRRefH22x_0)</f>
        <v>59459.529999999992</v>
      </c>
      <c r="I23" s="19"/>
      <c r="J23" s="35">
        <f t="shared" ref="J23:J33" si="15">IF(H$12=0,0,H23/H$12)</f>
        <v>3.0763543102413502</v>
      </c>
      <c r="K23" s="4"/>
      <c r="L23" s="19">
        <f t="shared" ref="L23:L33" si="16">+D23-H23</f>
        <v>-17960.719999999994</v>
      </c>
      <c r="M23" s="4"/>
      <c r="N23" s="35">
        <f t="shared" ref="N23:N33" si="17">IF(H23=0,0,L23/H23)</f>
        <v>-0.30206629618498493</v>
      </c>
      <c r="O23" s="10"/>
      <c r="P23" s="19">
        <f>SUM(OSRRefP22x_0)</f>
        <v>41498.81</v>
      </c>
      <c r="Q23" s="19"/>
      <c r="R23" s="35">
        <f t="shared" ref="R23:R33" si="18">IF(P$12=0,0,P23/P$12)</f>
        <v>0</v>
      </c>
      <c r="S23" s="19"/>
      <c r="T23" s="19">
        <f>SUM(OSRRefT22x_0)</f>
        <v>59459.529999999992</v>
      </c>
      <c r="U23" s="19"/>
      <c r="V23" s="35">
        <f t="shared" ref="V23:V33" si="19">IF(T$12=0,0,T23/T$12)</f>
        <v>3.0763543102413502</v>
      </c>
      <c r="W23" s="4"/>
      <c r="X23" s="19">
        <f t="shared" ref="X23:X33" si="20">+P23-T23</f>
        <v>-17960.719999999994</v>
      </c>
      <c r="Y23" s="4"/>
      <c r="Z23" s="35">
        <f t="shared" ref="Z23:Z33" si="21">IF(T23=0,0,X23/T23)</f>
        <v>-0.30206629618498493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16794.339999999997</v>
      </c>
      <c r="E24" s="1"/>
      <c r="F24" s="5">
        <f t="shared" si="14"/>
        <v>0</v>
      </c>
      <c r="G24" s="1"/>
      <c r="H24" s="1">
        <f>SUM(OSRRefH22_0x_0)</f>
        <v>18619.02</v>
      </c>
      <c r="I24" s="1"/>
      <c r="J24" s="5">
        <f t="shared" si="15"/>
        <v>0.96332248891758665</v>
      </c>
      <c r="K24" s="1"/>
      <c r="L24" s="1">
        <f t="shared" si="16"/>
        <v>-1824.6800000000039</v>
      </c>
      <c r="M24" s="1"/>
      <c r="N24" s="5">
        <f t="shared" si="17"/>
        <v>-9.8000861484654075E-2</v>
      </c>
      <c r="O24" s="14"/>
      <c r="P24" s="1">
        <f>SUM(OSRRefP22_0x_0)</f>
        <v>16794.339999999997</v>
      </c>
      <c r="Q24" s="1"/>
      <c r="R24" s="5">
        <f t="shared" si="18"/>
        <v>0</v>
      </c>
      <c r="S24" s="1"/>
      <c r="T24" s="1">
        <f>SUM(OSRRefT22_0x_0)</f>
        <v>18619.02</v>
      </c>
      <c r="U24" s="1"/>
      <c r="V24" s="5">
        <f t="shared" si="19"/>
        <v>0.96332248891758665</v>
      </c>
      <c r="W24" s="1"/>
      <c r="X24" s="1">
        <f t="shared" si="20"/>
        <v>-1824.6800000000039</v>
      </c>
      <c r="Y24" s="1"/>
      <c r="Z24" s="5">
        <f t="shared" si="21"/>
        <v>-9.8000861484654075E-2</v>
      </c>
    </row>
    <row r="25" spans="1:26" s="24" customFormat="1" hidden="1" outlineLevel="2" x14ac:dyDescent="0.3">
      <c r="A25" s="27"/>
      <c r="B25" s="12" t="str">
        <f>CONCATENATE("          ", "6111", " - ", "F.I.C.A.")</f>
        <v xml:space="preserve">          6111 - F.I.C.A.</v>
      </c>
      <c r="C25" s="12"/>
      <c r="D25" s="8">
        <v>1369.22</v>
      </c>
      <c r="E25" s="3"/>
      <c r="F25" s="7">
        <f t="shared" si="14"/>
        <v>0</v>
      </c>
      <c r="G25" s="3"/>
      <c r="H25" s="8">
        <v>1894.45</v>
      </c>
      <c r="I25" s="3"/>
      <c r="J25" s="7">
        <f t="shared" si="15"/>
        <v>9.801623764999029E-2</v>
      </c>
      <c r="K25" s="3"/>
      <c r="L25" s="8">
        <f t="shared" si="16"/>
        <v>-525.23</v>
      </c>
      <c r="M25" s="3"/>
      <c r="N25" s="7">
        <f t="shared" si="17"/>
        <v>-0.27724669429121906</v>
      </c>
      <c r="O25" s="12"/>
      <c r="P25" s="8">
        <v>1369.22</v>
      </c>
      <c r="Q25" s="3"/>
      <c r="R25" s="7">
        <f t="shared" si="18"/>
        <v>0</v>
      </c>
      <c r="S25" s="3"/>
      <c r="T25" s="8">
        <v>1894.45</v>
      </c>
      <c r="U25" s="3"/>
      <c r="V25" s="7">
        <f t="shared" si="19"/>
        <v>9.801623764999029E-2</v>
      </c>
      <c r="W25" s="3"/>
      <c r="X25" s="8">
        <f t="shared" si="20"/>
        <v>-525.23</v>
      </c>
      <c r="Y25" s="3"/>
      <c r="Z25" s="7">
        <f t="shared" si="21"/>
        <v>-0.27724669429121906</v>
      </c>
    </row>
    <row r="26" spans="1:26" s="24" customFormat="1" hidden="1" outlineLevel="2" x14ac:dyDescent="0.3">
      <c r="A26" s="27"/>
      <c r="B26" s="12" t="str">
        <f>CONCATENATE("          ", "6112", " - ", "COMPENSATION INSURANCE")</f>
        <v xml:space="preserve">          6112 - COMPENSATION INSURANCE</v>
      </c>
      <c r="C26" s="12"/>
      <c r="D26" s="8">
        <v>643.47</v>
      </c>
      <c r="E26" s="3"/>
      <c r="F26" s="7">
        <f t="shared" si="14"/>
        <v>0</v>
      </c>
      <c r="G26" s="3"/>
      <c r="H26" s="8">
        <v>1062.3</v>
      </c>
      <c r="I26" s="3"/>
      <c r="J26" s="7">
        <f t="shared" si="15"/>
        <v>5.4961941067636869E-2</v>
      </c>
      <c r="K26" s="3"/>
      <c r="L26" s="8">
        <f t="shared" si="16"/>
        <v>-418.82999999999993</v>
      </c>
      <c r="M26" s="3"/>
      <c r="N26" s="7">
        <f t="shared" si="17"/>
        <v>-0.39426715617057323</v>
      </c>
      <c r="O26" s="12"/>
      <c r="P26" s="8">
        <v>643.47</v>
      </c>
      <c r="Q26" s="3"/>
      <c r="R26" s="7">
        <f t="shared" si="18"/>
        <v>0</v>
      </c>
      <c r="S26" s="3"/>
      <c r="T26" s="8">
        <v>1062.3</v>
      </c>
      <c r="U26" s="3"/>
      <c r="V26" s="7">
        <f t="shared" si="19"/>
        <v>5.4961941067636869E-2</v>
      </c>
      <c r="W26" s="3"/>
      <c r="X26" s="8">
        <f t="shared" si="20"/>
        <v>-418.82999999999993</v>
      </c>
      <c r="Y26" s="3"/>
      <c r="Z26" s="7">
        <f t="shared" si="21"/>
        <v>-0.39426715617057323</v>
      </c>
    </row>
    <row r="27" spans="1:26" s="24" customFormat="1" hidden="1" outlineLevel="2" x14ac:dyDescent="0.3">
      <c r="A27" s="27"/>
      <c r="B27" s="12" t="str">
        <f>CONCATENATE("          ", "6113", " - ", "GROUP INSURANCE")</f>
        <v xml:space="preserve">          6113 - GROUP INSURANCE</v>
      </c>
      <c r="C27" s="12"/>
      <c r="D27" s="8">
        <v>10588.88</v>
      </c>
      <c r="E27" s="3"/>
      <c r="F27" s="7">
        <f t="shared" si="14"/>
        <v>0</v>
      </c>
      <c r="G27" s="3"/>
      <c r="H27" s="8">
        <v>9826.58</v>
      </c>
      <c r="I27" s="3"/>
      <c r="J27" s="7">
        <f t="shared" si="15"/>
        <v>0.5084137351561886</v>
      </c>
      <c r="K27" s="3"/>
      <c r="L27" s="8">
        <f t="shared" si="16"/>
        <v>762.29999999999927</v>
      </c>
      <c r="M27" s="3"/>
      <c r="N27" s="7">
        <f t="shared" si="17"/>
        <v>7.7575311044127182E-2</v>
      </c>
      <c r="O27" s="12"/>
      <c r="P27" s="8">
        <v>10588.88</v>
      </c>
      <c r="Q27" s="3"/>
      <c r="R27" s="7">
        <f t="shared" si="18"/>
        <v>0</v>
      </c>
      <c r="S27" s="3"/>
      <c r="T27" s="8">
        <v>9826.58</v>
      </c>
      <c r="U27" s="3"/>
      <c r="V27" s="7">
        <f t="shared" si="19"/>
        <v>0.5084137351561886</v>
      </c>
      <c r="W27" s="3"/>
      <c r="X27" s="8">
        <f t="shared" si="20"/>
        <v>762.29999999999927</v>
      </c>
      <c r="Y27" s="3"/>
      <c r="Z27" s="7">
        <f t="shared" si="21"/>
        <v>7.7575311044127182E-2</v>
      </c>
    </row>
    <row r="28" spans="1:26" s="24" customFormat="1" hidden="1" outlineLevel="2" x14ac:dyDescent="0.3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8">
        <v>46.47</v>
      </c>
      <c r="E28" s="3"/>
      <c r="F28" s="7">
        <f t="shared" si="14"/>
        <v>0</v>
      </c>
      <c r="G28" s="3"/>
      <c r="H28" s="8">
        <v>64.38</v>
      </c>
      <c r="I28" s="3"/>
      <c r="J28" s="7">
        <f t="shared" si="15"/>
        <v>3.3309326611451208E-3</v>
      </c>
      <c r="K28" s="3"/>
      <c r="L28" s="8">
        <f t="shared" si="16"/>
        <v>-17.909999999999997</v>
      </c>
      <c r="M28" s="3"/>
      <c r="N28" s="7">
        <f t="shared" si="17"/>
        <v>-0.27819198508853676</v>
      </c>
      <c r="O28" s="12"/>
      <c r="P28" s="8">
        <v>46.47</v>
      </c>
      <c r="Q28" s="3"/>
      <c r="R28" s="7">
        <f t="shared" si="18"/>
        <v>0</v>
      </c>
      <c r="S28" s="3"/>
      <c r="T28" s="8">
        <v>64.38</v>
      </c>
      <c r="U28" s="3"/>
      <c r="V28" s="7">
        <f t="shared" si="19"/>
        <v>3.3309326611451208E-3</v>
      </c>
      <c r="W28" s="3"/>
      <c r="X28" s="8">
        <f t="shared" si="20"/>
        <v>-17.909999999999997</v>
      </c>
      <c r="Y28" s="3"/>
      <c r="Z28" s="7">
        <f t="shared" si="21"/>
        <v>-0.27819198508853676</v>
      </c>
    </row>
    <row r="29" spans="1:26" s="24" customFormat="1" hidden="1" outlineLevel="2" x14ac:dyDescent="0.3">
      <c r="A29" s="27"/>
      <c r="B29" s="12" t="str">
        <f>CONCATENATE("          ", "6115", " - ", "P.E.R.S.")</f>
        <v xml:space="preserve">          6115 - P.E.R.S.</v>
      </c>
      <c r="C29" s="12"/>
      <c r="D29" s="8">
        <v>935.58</v>
      </c>
      <c r="E29" s="3"/>
      <c r="F29" s="7">
        <f t="shared" si="14"/>
        <v>0</v>
      </c>
      <c r="G29" s="3"/>
      <c r="H29" s="8">
        <v>1425.05</v>
      </c>
      <c r="I29" s="3"/>
      <c r="J29" s="7">
        <f t="shared" si="15"/>
        <v>7.3730127194235079E-2</v>
      </c>
      <c r="K29" s="3"/>
      <c r="L29" s="8">
        <f t="shared" si="16"/>
        <v>-489.46999999999991</v>
      </c>
      <c r="M29" s="3"/>
      <c r="N29" s="7">
        <f t="shared" si="17"/>
        <v>-0.34347566752043784</v>
      </c>
      <c r="O29" s="12"/>
      <c r="P29" s="8">
        <v>935.58</v>
      </c>
      <c r="Q29" s="3"/>
      <c r="R29" s="7">
        <f t="shared" si="18"/>
        <v>0</v>
      </c>
      <c r="S29" s="3"/>
      <c r="T29" s="8">
        <v>1425.05</v>
      </c>
      <c r="U29" s="3"/>
      <c r="V29" s="7">
        <f t="shared" si="19"/>
        <v>7.3730127194235079E-2</v>
      </c>
      <c r="W29" s="3"/>
      <c r="X29" s="8">
        <f t="shared" si="20"/>
        <v>-489.46999999999991</v>
      </c>
      <c r="Y29" s="3"/>
      <c r="Z29" s="7">
        <f t="shared" si="21"/>
        <v>-0.34347566752043784</v>
      </c>
    </row>
    <row r="30" spans="1:26" s="24" customFormat="1" hidden="1" outlineLevel="2" x14ac:dyDescent="0.3">
      <c r="A30" s="27"/>
      <c r="B30" s="12" t="str">
        <f>CONCATENATE("          ", "6117", " - ", "RETIREMENT STAFF HOURLY")</f>
        <v xml:space="preserve">          6117 - RETIREMENT STAFF HOURLY</v>
      </c>
      <c r="C30" s="12"/>
      <c r="D30" s="8">
        <v>346.42</v>
      </c>
      <c r="E30" s="3"/>
      <c r="F30" s="7">
        <f t="shared" si="14"/>
        <v>0</v>
      </c>
      <c r="G30" s="3"/>
      <c r="H30" s="8">
        <v>524.91999999999996</v>
      </c>
      <c r="I30" s="3"/>
      <c r="J30" s="7">
        <f t="shared" si="15"/>
        <v>2.7158638901651082E-2</v>
      </c>
      <c r="K30" s="3"/>
      <c r="L30" s="8">
        <f t="shared" si="16"/>
        <v>-178.49999999999994</v>
      </c>
      <c r="M30" s="3"/>
      <c r="N30" s="7">
        <f t="shared" si="17"/>
        <v>-0.34005181741979723</v>
      </c>
      <c r="O30" s="12"/>
      <c r="P30" s="8">
        <v>346.42</v>
      </c>
      <c r="Q30" s="3"/>
      <c r="R30" s="7">
        <f t="shared" si="18"/>
        <v>0</v>
      </c>
      <c r="S30" s="3"/>
      <c r="T30" s="8">
        <v>524.91999999999996</v>
      </c>
      <c r="U30" s="3"/>
      <c r="V30" s="7">
        <f t="shared" si="19"/>
        <v>2.7158638901651082E-2</v>
      </c>
      <c r="W30" s="3"/>
      <c r="X30" s="8">
        <f t="shared" si="20"/>
        <v>-178.49999999999994</v>
      </c>
      <c r="Y30" s="3"/>
      <c r="Z30" s="7">
        <f t="shared" si="21"/>
        <v>-0.34005181741979723</v>
      </c>
    </row>
    <row r="31" spans="1:26" s="24" customFormat="1" hidden="1" outlineLevel="2" x14ac:dyDescent="0.3">
      <c r="A31" s="27"/>
      <c r="B31" s="12" t="str">
        <f>CONCATENATE("          ", "6118", " - ", "VACATION")</f>
        <v xml:space="preserve">          6118 - VACATION</v>
      </c>
      <c r="C31" s="12"/>
      <c r="D31" s="8">
        <v>1447.81</v>
      </c>
      <c r="E31" s="3"/>
      <c r="F31" s="7">
        <f t="shared" si="14"/>
        <v>0</v>
      </c>
      <c r="G31" s="3"/>
      <c r="H31" s="8">
        <v>1852.16</v>
      </c>
      <c r="I31" s="3"/>
      <c r="J31" s="7">
        <f t="shared" si="15"/>
        <v>9.5828211209483496E-2</v>
      </c>
      <c r="K31" s="3"/>
      <c r="L31" s="8">
        <f t="shared" si="16"/>
        <v>-404.35000000000014</v>
      </c>
      <c r="M31" s="3"/>
      <c r="N31" s="7">
        <f t="shared" si="17"/>
        <v>-0.21831267277125094</v>
      </c>
      <c r="O31" s="12"/>
      <c r="P31" s="8">
        <v>1447.81</v>
      </c>
      <c r="Q31" s="3"/>
      <c r="R31" s="7">
        <f t="shared" si="18"/>
        <v>0</v>
      </c>
      <c r="S31" s="3"/>
      <c r="T31" s="8">
        <v>1852.16</v>
      </c>
      <c r="U31" s="3"/>
      <c r="V31" s="7">
        <f t="shared" si="19"/>
        <v>9.5828211209483496E-2</v>
      </c>
      <c r="W31" s="3"/>
      <c r="X31" s="8">
        <f t="shared" si="20"/>
        <v>-404.35000000000014</v>
      </c>
      <c r="Y31" s="3"/>
      <c r="Z31" s="7">
        <f t="shared" si="21"/>
        <v>-0.21831267277125094</v>
      </c>
    </row>
    <row r="32" spans="1:26" s="24" customFormat="1" hidden="1" outlineLevel="2" x14ac:dyDescent="0.3">
      <c r="A32" s="27"/>
      <c r="B32" s="12" t="str">
        <f>CONCATENATE("          ", "6119", " - ", "SICK LEAVE")</f>
        <v xml:space="preserve">          6119 - SICK LEAVE</v>
      </c>
      <c r="C32" s="12"/>
      <c r="D32" s="8">
        <v>850.14</v>
      </c>
      <c r="E32" s="3"/>
      <c r="F32" s="7">
        <f t="shared" si="14"/>
        <v>0</v>
      </c>
      <c r="G32" s="3"/>
      <c r="H32" s="8">
        <v>1214.78</v>
      </c>
      <c r="I32" s="3"/>
      <c r="J32" s="7">
        <f t="shared" si="15"/>
        <v>6.2851046568901364E-2</v>
      </c>
      <c r="K32" s="3"/>
      <c r="L32" s="8">
        <f t="shared" si="16"/>
        <v>-364.64</v>
      </c>
      <c r="M32" s="3"/>
      <c r="N32" s="7">
        <f t="shared" si="17"/>
        <v>-0.30016957803058991</v>
      </c>
      <c r="O32" s="12"/>
      <c r="P32" s="8">
        <v>850.14</v>
      </c>
      <c r="Q32" s="3"/>
      <c r="R32" s="7">
        <f t="shared" si="18"/>
        <v>0</v>
      </c>
      <c r="S32" s="3"/>
      <c r="T32" s="8">
        <v>1214.78</v>
      </c>
      <c r="U32" s="3"/>
      <c r="V32" s="7">
        <f t="shared" si="19"/>
        <v>6.2851046568901364E-2</v>
      </c>
      <c r="W32" s="3"/>
      <c r="X32" s="8">
        <f t="shared" si="20"/>
        <v>-364.64</v>
      </c>
      <c r="Y32" s="3"/>
      <c r="Z32" s="7">
        <f t="shared" si="21"/>
        <v>-0.30016957803058991</v>
      </c>
    </row>
    <row r="33" spans="1:26" s="24" customFormat="1" hidden="1" outlineLevel="2" x14ac:dyDescent="0.3">
      <c r="A33" s="27"/>
      <c r="B33" s="12" t="str">
        <f>CONCATENATE("          ", "6156", " - ", "EMPLOYEE MEALS")</f>
        <v xml:space="preserve">          6156 - EMPLOYEE MEALS</v>
      </c>
      <c r="C33" s="12"/>
      <c r="D33" s="8">
        <v>566.35</v>
      </c>
      <c r="E33" s="3"/>
      <c r="F33" s="7">
        <f t="shared" si="14"/>
        <v>0</v>
      </c>
      <c r="G33" s="3"/>
      <c r="H33" s="8">
        <v>754.4</v>
      </c>
      <c r="I33" s="3"/>
      <c r="J33" s="7">
        <f t="shared" si="15"/>
        <v>3.9031618508354758E-2</v>
      </c>
      <c r="K33" s="3"/>
      <c r="L33" s="8">
        <f t="shared" si="16"/>
        <v>-188.04999999999995</v>
      </c>
      <c r="M33" s="3"/>
      <c r="N33" s="7">
        <f t="shared" si="17"/>
        <v>-0.24927094379639445</v>
      </c>
      <c r="O33" s="12"/>
      <c r="P33" s="8">
        <v>566.35</v>
      </c>
      <c r="Q33" s="3"/>
      <c r="R33" s="7">
        <f t="shared" si="18"/>
        <v>0</v>
      </c>
      <c r="S33" s="3"/>
      <c r="T33" s="8">
        <v>754.4</v>
      </c>
      <c r="U33" s="3"/>
      <c r="V33" s="7">
        <f t="shared" si="19"/>
        <v>3.9031618508354758E-2</v>
      </c>
      <c r="W33" s="3"/>
      <c r="X33" s="8">
        <f t="shared" si="20"/>
        <v>-188.04999999999995</v>
      </c>
      <c r="Y33" s="3"/>
      <c r="Z33" s="7">
        <f t="shared" si="21"/>
        <v>-0.24927094379639445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18875.27</v>
      </c>
      <c r="E34" s="1"/>
      <c r="F34" s="5">
        <f t="shared" ref="F34:F37" si="22">IF(D$12=0,0,D34/D$12)</f>
        <v>0</v>
      </c>
      <c r="G34" s="1"/>
      <c r="H34" s="1">
        <f>SUM(OSRRefH22_1x_0)</f>
        <v>23914.11</v>
      </c>
      <c r="I34" s="1"/>
      <c r="J34" s="5">
        <f t="shared" ref="J34:J37" si="23">IF(H$12=0,0,H34/H$12)</f>
        <v>1.2372831634236898</v>
      </c>
      <c r="K34" s="1"/>
      <c r="L34" s="1">
        <f t="shared" ref="L34:L37" si="24">+D34-H34</f>
        <v>-5038.84</v>
      </c>
      <c r="M34" s="1"/>
      <c r="N34" s="5">
        <f t="shared" ref="N34:N37" si="25">IF(H34=0,0,L34/H34)</f>
        <v>-0.21070572979717833</v>
      </c>
      <c r="O34" s="14"/>
      <c r="P34" s="1">
        <f>SUM(OSRRefP22_1x_0)</f>
        <v>18875.27</v>
      </c>
      <c r="Q34" s="1"/>
      <c r="R34" s="5">
        <f t="shared" ref="R34:R37" si="26">IF(P$12=0,0,P34/P$12)</f>
        <v>0</v>
      </c>
      <c r="S34" s="1"/>
      <c r="T34" s="1">
        <f>SUM(OSRRefT22_1x_0)</f>
        <v>23914.11</v>
      </c>
      <c r="U34" s="1"/>
      <c r="V34" s="5">
        <f t="shared" ref="V34:V37" si="27">IF(T$12=0,0,T34/T$12)</f>
        <v>1.2372831634236898</v>
      </c>
      <c r="W34" s="1"/>
      <c r="X34" s="1">
        <f t="shared" ref="X34:X37" si="28">+P34-T34</f>
        <v>-5038.84</v>
      </c>
      <c r="Y34" s="1"/>
      <c r="Z34" s="5">
        <f t="shared" ref="Z34:Z37" si="29">IF(T34=0,0,X34/T34)</f>
        <v>-0.21070572979717833</v>
      </c>
    </row>
    <row r="35" spans="1:26" s="24" customFormat="1" hidden="1" outlineLevel="2" x14ac:dyDescent="0.3">
      <c r="A35" s="27"/>
      <c r="B35" s="12" t="str">
        <f>CONCATENATE("          ", "6002", " - ", "STAFF SALARIES")</f>
        <v xml:space="preserve">          6002 - STAFF SALARIES</v>
      </c>
      <c r="C35" s="12"/>
      <c r="D35" s="8">
        <v>10229.52</v>
      </c>
      <c r="E35" s="3"/>
      <c r="F35" s="7">
        <f t="shared" si="22"/>
        <v>0</v>
      </c>
      <c r="G35" s="3"/>
      <c r="H35" s="8">
        <v>11078.22</v>
      </c>
      <c r="I35" s="3"/>
      <c r="J35" s="7">
        <f t="shared" si="23"/>
        <v>0.57317186743322612</v>
      </c>
      <c r="K35" s="3"/>
      <c r="L35" s="8">
        <f t="shared" si="24"/>
        <v>-848.69999999999891</v>
      </c>
      <c r="M35" s="3"/>
      <c r="N35" s="7">
        <f t="shared" si="25"/>
        <v>-7.6609780271559777E-2</v>
      </c>
      <c r="O35" s="12"/>
      <c r="P35" s="8">
        <v>10229.52</v>
      </c>
      <c r="Q35" s="3"/>
      <c r="R35" s="7">
        <f t="shared" si="26"/>
        <v>0</v>
      </c>
      <c r="S35" s="3"/>
      <c r="T35" s="8">
        <v>11078.22</v>
      </c>
      <c r="U35" s="3"/>
      <c r="V35" s="7">
        <f t="shared" si="27"/>
        <v>0.57317186743322612</v>
      </c>
      <c r="W35" s="3"/>
      <c r="X35" s="8">
        <f t="shared" si="28"/>
        <v>-848.69999999999891</v>
      </c>
      <c r="Y35" s="3"/>
      <c r="Z35" s="7">
        <f t="shared" si="29"/>
        <v>-7.6609780271559777E-2</v>
      </c>
    </row>
    <row r="36" spans="1:26" s="24" customFormat="1" hidden="1" outlineLevel="2" x14ac:dyDescent="0.3">
      <c r="A36" s="27"/>
      <c r="B36" s="12" t="str">
        <f>CONCATENATE("          ", "6004", " - ", "STAFF HOURLY")</f>
        <v xml:space="preserve">          6004 - STAFF HOURLY</v>
      </c>
      <c r="C36" s="12"/>
      <c r="D36" s="8">
        <v>7226.75</v>
      </c>
      <c r="E36" s="3"/>
      <c r="F36" s="7">
        <f t="shared" si="22"/>
        <v>0</v>
      </c>
      <c r="G36" s="3"/>
      <c r="H36" s="8">
        <v>10701.89</v>
      </c>
      <c r="I36" s="3"/>
      <c r="J36" s="7">
        <f t="shared" si="23"/>
        <v>0.5537010707825778</v>
      </c>
      <c r="K36" s="3"/>
      <c r="L36" s="8">
        <f t="shared" si="24"/>
        <v>-3475.1399999999994</v>
      </c>
      <c r="M36" s="3"/>
      <c r="N36" s="7">
        <f t="shared" si="25"/>
        <v>-0.32472208180050438</v>
      </c>
      <c r="O36" s="12"/>
      <c r="P36" s="8">
        <v>7226.75</v>
      </c>
      <c r="Q36" s="3"/>
      <c r="R36" s="7">
        <f t="shared" si="26"/>
        <v>0</v>
      </c>
      <c r="S36" s="3"/>
      <c r="T36" s="8">
        <v>10701.89</v>
      </c>
      <c r="U36" s="3"/>
      <c r="V36" s="7">
        <f t="shared" si="27"/>
        <v>0.5537010707825778</v>
      </c>
      <c r="W36" s="3"/>
      <c r="X36" s="8">
        <f t="shared" si="28"/>
        <v>-3475.1399999999994</v>
      </c>
      <c r="Y36" s="3"/>
      <c r="Z36" s="7">
        <f t="shared" si="29"/>
        <v>-0.32472208180050438</v>
      </c>
    </row>
    <row r="37" spans="1:26" s="24" customFormat="1" hidden="1" outlineLevel="2" x14ac:dyDescent="0.3">
      <c r="A37" s="27"/>
      <c r="B37" s="12" t="str">
        <f>CONCATENATE("          ", "6007", " - ", "STUDENT HOURLY")</f>
        <v xml:space="preserve">          6007 - STUDENT HOURLY</v>
      </c>
      <c r="C37" s="12"/>
      <c r="D37" s="8">
        <v>1419</v>
      </c>
      <c r="E37" s="3"/>
      <c r="F37" s="7">
        <f t="shared" si="22"/>
        <v>0</v>
      </c>
      <c r="G37" s="3"/>
      <c r="H37" s="8">
        <v>2134</v>
      </c>
      <c r="I37" s="3"/>
      <c r="J37" s="7">
        <f t="shared" si="23"/>
        <v>0.11041022520788581</v>
      </c>
      <c r="K37" s="3"/>
      <c r="L37" s="8">
        <f t="shared" si="24"/>
        <v>-715</v>
      </c>
      <c r="M37" s="3"/>
      <c r="N37" s="7">
        <f t="shared" si="25"/>
        <v>-0.33505154639175255</v>
      </c>
      <c r="O37" s="12"/>
      <c r="P37" s="8">
        <v>1419</v>
      </c>
      <c r="Q37" s="3"/>
      <c r="R37" s="7">
        <f t="shared" si="26"/>
        <v>0</v>
      </c>
      <c r="S37" s="3"/>
      <c r="T37" s="8">
        <v>2134</v>
      </c>
      <c r="U37" s="3"/>
      <c r="V37" s="7">
        <f t="shared" si="27"/>
        <v>0.11041022520788581</v>
      </c>
      <c r="W37" s="3"/>
      <c r="X37" s="8">
        <f t="shared" si="28"/>
        <v>-715</v>
      </c>
      <c r="Y37" s="3"/>
      <c r="Z37" s="7">
        <f t="shared" si="29"/>
        <v>-0.33505154639175255</v>
      </c>
    </row>
    <row r="38" spans="1:26" s="29" customFormat="1" outlineLevel="1" collapsed="1" x14ac:dyDescent="0.3">
      <c r="A38" s="28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40.31</v>
      </c>
      <c r="E38" s="1"/>
      <c r="F38" s="5">
        <f t="shared" ref="F38:F53" si="30">IF(D$12=0,0,D38/D$12)</f>
        <v>0</v>
      </c>
      <c r="G38" s="1"/>
      <c r="H38" s="1">
        <f>SUM(OSRRefH22_2x_0)</f>
        <v>204.75</v>
      </c>
      <c r="I38" s="1"/>
      <c r="J38" s="5">
        <f t="shared" ref="J38:J53" si="31">IF(H$12=0,0,H38/H$12)</f>
        <v>1.0593483416735997E-2</v>
      </c>
      <c r="K38" s="1"/>
      <c r="L38" s="1">
        <f t="shared" ref="L38:L53" si="32">+D38-H38</f>
        <v>-164.44</v>
      </c>
      <c r="M38" s="1"/>
      <c r="N38" s="5">
        <f t="shared" ref="N38:N53" si="33">IF(H38=0,0,L38/H38)</f>
        <v>-0.80312576312576311</v>
      </c>
      <c r="O38" s="14"/>
      <c r="P38" s="1">
        <f>SUM(OSRRefP22_2x_0)</f>
        <v>40.31</v>
      </c>
      <c r="Q38" s="1"/>
      <c r="R38" s="5">
        <f t="shared" ref="R38:R53" si="34">IF(P$12=0,0,P38/P$12)</f>
        <v>0</v>
      </c>
      <c r="S38" s="1"/>
      <c r="T38" s="1">
        <f>SUM(OSRRefT22_2x_0)</f>
        <v>204.75</v>
      </c>
      <c r="U38" s="1"/>
      <c r="V38" s="5">
        <f t="shared" ref="V38:V53" si="35">IF(T$12=0,0,T38/T$12)</f>
        <v>1.0593483416735997E-2</v>
      </c>
      <c r="W38" s="1"/>
      <c r="X38" s="1">
        <f t="shared" ref="X38:X53" si="36">+P38-T38</f>
        <v>-164.44</v>
      </c>
      <c r="Y38" s="1"/>
      <c r="Z38" s="5">
        <f t="shared" ref="Z38:Z53" si="37">IF(T38=0,0,X38/T38)</f>
        <v>-0.80312576312576311</v>
      </c>
    </row>
    <row r="39" spans="1:26" s="24" customFormat="1" hidden="1" outlineLevel="2" x14ac:dyDescent="0.3">
      <c r="A39" s="27"/>
      <c r="B39" s="12" t="str">
        <f>CONCATENATE("          ", "6362", " - ", "ADVERTISING EXPENSE")</f>
        <v xml:space="preserve">          6362 - ADVERTISING EXPENSE</v>
      </c>
      <c r="C39" s="12"/>
      <c r="D39" s="8">
        <v>40.31</v>
      </c>
      <c r="E39" s="3"/>
      <c r="F39" s="7">
        <f t="shared" si="30"/>
        <v>0</v>
      </c>
      <c r="G39" s="3"/>
      <c r="H39" s="8">
        <v>204.75</v>
      </c>
      <c r="I39" s="3"/>
      <c r="J39" s="7">
        <f t="shared" si="31"/>
        <v>1.0593483416735997E-2</v>
      </c>
      <c r="K39" s="3"/>
      <c r="L39" s="8">
        <f t="shared" si="32"/>
        <v>-164.44</v>
      </c>
      <c r="M39" s="3"/>
      <c r="N39" s="7">
        <f t="shared" si="33"/>
        <v>-0.80312576312576311</v>
      </c>
      <c r="O39" s="12"/>
      <c r="P39" s="8">
        <v>40.31</v>
      </c>
      <c r="Q39" s="3"/>
      <c r="R39" s="7">
        <f t="shared" si="34"/>
        <v>0</v>
      </c>
      <c r="S39" s="3"/>
      <c r="T39" s="8">
        <v>204.75</v>
      </c>
      <c r="U39" s="3"/>
      <c r="V39" s="7">
        <f t="shared" si="35"/>
        <v>1.0593483416735997E-2</v>
      </c>
      <c r="W39" s="3"/>
      <c r="X39" s="8">
        <f t="shared" si="36"/>
        <v>-164.44</v>
      </c>
      <c r="Y39" s="3"/>
      <c r="Z39" s="7">
        <f t="shared" si="37"/>
        <v>-0.80312576312576311</v>
      </c>
    </row>
    <row r="40" spans="1:26" s="29" customFormat="1" outlineLevel="1" collapsed="1" x14ac:dyDescent="0.3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</v>
      </c>
      <c r="U40" s="1"/>
      <c r="V40" s="5">
        <f t="shared" si="35"/>
        <v>0</v>
      </c>
      <c r="W40" s="1"/>
      <c r="X40" s="1">
        <f t="shared" si="36"/>
        <v>0</v>
      </c>
      <c r="Y40" s="1"/>
      <c r="Z40" s="5">
        <f t="shared" si="37"/>
        <v>0</v>
      </c>
    </row>
    <row r="41" spans="1:26" s="24" customFormat="1" hidden="1" outlineLevel="2" x14ac:dyDescent="0.3">
      <c r="A41" s="27"/>
      <c r="B41" s="12" t="str">
        <f>CONCATENATE("          ", "6272", " - ", "CASH (OVER/SHORT)")</f>
        <v xml:space="preserve">          6272 - CASH (OVER/SHORT)</v>
      </c>
      <c r="C41" s="12"/>
      <c r="D41" s="8"/>
      <c r="E41" s="3"/>
      <c r="F41" s="7">
        <f t="shared" si="30"/>
        <v>0</v>
      </c>
      <c r="G41" s="3"/>
      <c r="H41" s="8">
        <v>0</v>
      </c>
      <c r="I41" s="3"/>
      <c r="J41" s="7">
        <f t="shared" si="31"/>
        <v>0</v>
      </c>
      <c r="K41" s="3"/>
      <c r="L41" s="8">
        <f t="shared" si="32"/>
        <v>0</v>
      </c>
      <c r="M41" s="3"/>
      <c r="N41" s="7">
        <f t="shared" si="33"/>
        <v>0</v>
      </c>
      <c r="O41" s="12"/>
      <c r="P41" s="8"/>
      <c r="Q41" s="3"/>
      <c r="R41" s="7">
        <f t="shared" si="34"/>
        <v>0</v>
      </c>
      <c r="S41" s="3"/>
      <c r="T41" s="8">
        <v>0</v>
      </c>
      <c r="U41" s="3"/>
      <c r="V41" s="7">
        <f t="shared" si="35"/>
        <v>0</v>
      </c>
      <c r="W41" s="3"/>
      <c r="X41" s="8">
        <f t="shared" si="36"/>
        <v>0</v>
      </c>
      <c r="Y41" s="3"/>
      <c r="Z41" s="7">
        <f t="shared" si="37"/>
        <v>0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273.51</v>
      </c>
      <c r="E42" s="1"/>
      <c r="F42" s="5">
        <f t="shared" si="30"/>
        <v>0</v>
      </c>
      <c r="G42" s="1"/>
      <c r="H42" s="1">
        <f>SUM(OSRRefH22_4x_0)</f>
        <v>0</v>
      </c>
      <c r="I42" s="1"/>
      <c r="J42" s="5">
        <f t="shared" si="31"/>
        <v>0</v>
      </c>
      <c r="K42" s="1"/>
      <c r="L42" s="1">
        <f t="shared" si="32"/>
        <v>273.51</v>
      </c>
      <c r="M42" s="1"/>
      <c r="N42" s="5">
        <f t="shared" si="33"/>
        <v>0</v>
      </c>
      <c r="O42" s="14"/>
      <c r="P42" s="1">
        <f>SUM(OSRRefP22_4x_0)</f>
        <v>273.51</v>
      </c>
      <c r="Q42" s="1"/>
      <c r="R42" s="5">
        <f t="shared" si="34"/>
        <v>0</v>
      </c>
      <c r="S42" s="1"/>
      <c r="T42" s="1">
        <f>SUM(OSRRefT22_4x_0)</f>
        <v>0</v>
      </c>
      <c r="U42" s="1"/>
      <c r="V42" s="5">
        <f t="shared" si="35"/>
        <v>0</v>
      </c>
      <c r="W42" s="1"/>
      <c r="X42" s="1">
        <f t="shared" si="36"/>
        <v>273.51</v>
      </c>
      <c r="Y42" s="1"/>
      <c r="Z42" s="5">
        <f t="shared" si="37"/>
        <v>0</v>
      </c>
    </row>
    <row r="43" spans="1:26" s="24" customFormat="1" hidden="1" outlineLevel="2" x14ac:dyDescent="0.3">
      <c r="A43" s="27"/>
      <c r="B43" s="12" t="str">
        <f>CONCATENATE("          ", "6322", " - ", "EQUIPMENT DEPRECIATION EXPENSE")</f>
        <v xml:space="preserve">          6322 - EQUIPMENT DEPRECIATION EXPENSE</v>
      </c>
      <c r="C43" s="12"/>
      <c r="D43" s="8">
        <v>273.51</v>
      </c>
      <c r="E43" s="3"/>
      <c r="F43" s="7">
        <f t="shared" si="30"/>
        <v>0</v>
      </c>
      <c r="G43" s="3"/>
      <c r="H43" s="8"/>
      <c r="I43" s="3"/>
      <c r="J43" s="7">
        <f t="shared" si="31"/>
        <v>0</v>
      </c>
      <c r="K43" s="3"/>
      <c r="L43" s="8">
        <f t="shared" si="32"/>
        <v>273.51</v>
      </c>
      <c r="M43" s="3"/>
      <c r="N43" s="7">
        <f t="shared" si="33"/>
        <v>0</v>
      </c>
      <c r="O43" s="12"/>
      <c r="P43" s="8">
        <v>273.51</v>
      </c>
      <c r="Q43" s="3"/>
      <c r="R43" s="7">
        <f t="shared" si="34"/>
        <v>0</v>
      </c>
      <c r="S43" s="3"/>
      <c r="T43" s="8"/>
      <c r="U43" s="3"/>
      <c r="V43" s="7">
        <f t="shared" si="35"/>
        <v>0</v>
      </c>
      <c r="W43" s="3"/>
      <c r="X43" s="8">
        <f t="shared" si="36"/>
        <v>273.51</v>
      </c>
      <c r="Y43" s="3"/>
      <c r="Z43" s="7">
        <f t="shared" si="37"/>
        <v>0</v>
      </c>
    </row>
    <row r="44" spans="1:26" s="29" customFormat="1" outlineLevel="1" collapsed="1" x14ac:dyDescent="0.3">
      <c r="A44" s="28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SUM(OSRRefD22_5x_0)</f>
        <v>430.43</v>
      </c>
      <c r="E44" s="1"/>
      <c r="F44" s="5">
        <f t="shared" si="30"/>
        <v>0</v>
      </c>
      <c r="G44" s="1"/>
      <c r="H44" s="1">
        <f>SUM(OSRRefH22_5x_0)</f>
        <v>173.95</v>
      </c>
      <c r="I44" s="1"/>
      <c r="J44" s="5">
        <f t="shared" si="31"/>
        <v>8.9999337745603255E-3</v>
      </c>
      <c r="K44" s="1"/>
      <c r="L44" s="1">
        <f t="shared" si="32"/>
        <v>256.48</v>
      </c>
      <c r="M44" s="1"/>
      <c r="N44" s="5">
        <f t="shared" si="33"/>
        <v>1.4744466800804832</v>
      </c>
      <c r="O44" s="14"/>
      <c r="P44" s="1">
        <f>SUM(OSRRefP22_5x_0)</f>
        <v>430.43</v>
      </c>
      <c r="Q44" s="1"/>
      <c r="R44" s="5">
        <f t="shared" si="34"/>
        <v>0</v>
      </c>
      <c r="S44" s="1"/>
      <c r="T44" s="1">
        <f>SUM(OSRRefT22_5x_0)</f>
        <v>173.95</v>
      </c>
      <c r="U44" s="1"/>
      <c r="V44" s="5">
        <f t="shared" si="35"/>
        <v>8.9999337745603255E-3</v>
      </c>
      <c r="W44" s="1"/>
      <c r="X44" s="1">
        <f t="shared" si="36"/>
        <v>256.48</v>
      </c>
      <c r="Y44" s="1"/>
      <c r="Z44" s="5">
        <f t="shared" si="37"/>
        <v>1.4744466800804832</v>
      </c>
    </row>
    <row r="45" spans="1:26" s="24" customFormat="1" hidden="1" outlineLevel="2" x14ac:dyDescent="0.3">
      <c r="A45" s="27"/>
      <c r="B45" s="12" t="str">
        <f>CONCATENATE("          ", "6351", " - ", "EQUIPMENT RENTAL")</f>
        <v xml:space="preserve">          6351 - EQUIPMENT RENTAL</v>
      </c>
      <c r="C45" s="12"/>
      <c r="D45" s="8">
        <v>430.43</v>
      </c>
      <c r="E45" s="3"/>
      <c r="F45" s="7">
        <f t="shared" si="30"/>
        <v>0</v>
      </c>
      <c r="G45" s="3"/>
      <c r="H45" s="8">
        <v>173.95</v>
      </c>
      <c r="I45" s="3"/>
      <c r="J45" s="7">
        <f t="shared" si="31"/>
        <v>8.9999337745603255E-3</v>
      </c>
      <c r="K45" s="3"/>
      <c r="L45" s="8">
        <f t="shared" si="32"/>
        <v>256.48</v>
      </c>
      <c r="M45" s="3"/>
      <c r="N45" s="7">
        <f t="shared" si="33"/>
        <v>1.4744466800804832</v>
      </c>
      <c r="O45" s="12"/>
      <c r="P45" s="8">
        <v>430.43</v>
      </c>
      <c r="Q45" s="3"/>
      <c r="R45" s="7">
        <f t="shared" si="34"/>
        <v>0</v>
      </c>
      <c r="S45" s="3"/>
      <c r="T45" s="8">
        <v>173.95</v>
      </c>
      <c r="U45" s="3"/>
      <c r="V45" s="7">
        <f t="shared" si="35"/>
        <v>8.9999337745603255E-3</v>
      </c>
      <c r="W45" s="3"/>
      <c r="X45" s="8">
        <f t="shared" si="36"/>
        <v>256.48</v>
      </c>
      <c r="Y45" s="3"/>
      <c r="Z45" s="7">
        <f t="shared" si="37"/>
        <v>1.4744466800804832</v>
      </c>
    </row>
    <row r="46" spans="1:26" s="29" customFormat="1" outlineLevel="1" collapsed="1" x14ac:dyDescent="0.3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70.069999999999993</v>
      </c>
      <c r="E46" s="1"/>
      <c r="F46" s="5">
        <f t="shared" si="30"/>
        <v>0</v>
      </c>
      <c r="G46" s="1"/>
      <c r="H46" s="1">
        <f>SUM(OSRRefH22_6x_0)</f>
        <v>3419.55</v>
      </c>
      <c r="I46" s="1"/>
      <c r="J46" s="5">
        <f t="shared" si="31"/>
        <v>0.17692281425005901</v>
      </c>
      <c r="K46" s="1"/>
      <c r="L46" s="1">
        <f t="shared" si="32"/>
        <v>-3349.48</v>
      </c>
      <c r="M46" s="1"/>
      <c r="N46" s="5">
        <f t="shared" si="33"/>
        <v>-0.97950899972218564</v>
      </c>
      <c r="O46" s="14"/>
      <c r="P46" s="1">
        <f>SUM(OSRRefP22_6x_0)</f>
        <v>70.069999999999993</v>
      </c>
      <c r="Q46" s="1"/>
      <c r="R46" s="5">
        <f t="shared" si="34"/>
        <v>0</v>
      </c>
      <c r="S46" s="1"/>
      <c r="T46" s="1">
        <f>SUM(OSRRefT22_6x_0)</f>
        <v>3419.55</v>
      </c>
      <c r="U46" s="1"/>
      <c r="V46" s="5">
        <f t="shared" si="35"/>
        <v>0.17692281425005901</v>
      </c>
      <c r="W46" s="1"/>
      <c r="X46" s="1">
        <f t="shared" si="36"/>
        <v>-3349.48</v>
      </c>
      <c r="Y46" s="1"/>
      <c r="Z46" s="5">
        <f t="shared" si="37"/>
        <v>-0.97950899972218564</v>
      </c>
    </row>
    <row r="47" spans="1:26" s="24" customFormat="1" hidden="1" outlineLevel="2" x14ac:dyDescent="0.3">
      <c r="A47" s="27"/>
      <c r="B47" s="12" t="str">
        <f>CONCATENATE("          ", "6279", " - ", "GENERAL EXPENSE")</f>
        <v xml:space="preserve">          6279 - GENERAL EXPENSE</v>
      </c>
      <c r="C47" s="12"/>
      <c r="D47" s="8">
        <v>70.069999999999993</v>
      </c>
      <c r="E47" s="3"/>
      <c r="F47" s="7">
        <f t="shared" si="30"/>
        <v>0</v>
      </c>
      <c r="G47" s="3"/>
      <c r="H47" s="8">
        <v>3419.55</v>
      </c>
      <c r="I47" s="3"/>
      <c r="J47" s="7">
        <f t="shared" si="31"/>
        <v>0.17692281425005901</v>
      </c>
      <c r="K47" s="3"/>
      <c r="L47" s="8">
        <f t="shared" si="32"/>
        <v>-3349.48</v>
      </c>
      <c r="M47" s="3"/>
      <c r="N47" s="7">
        <f t="shared" si="33"/>
        <v>-0.97950899972218564</v>
      </c>
      <c r="O47" s="12"/>
      <c r="P47" s="8">
        <v>70.069999999999993</v>
      </c>
      <c r="Q47" s="3"/>
      <c r="R47" s="7">
        <f t="shared" si="34"/>
        <v>0</v>
      </c>
      <c r="S47" s="3"/>
      <c r="T47" s="8">
        <v>3419.55</v>
      </c>
      <c r="U47" s="3"/>
      <c r="V47" s="7">
        <f t="shared" si="35"/>
        <v>0.17692281425005901</v>
      </c>
      <c r="W47" s="3"/>
      <c r="X47" s="8">
        <f t="shared" si="36"/>
        <v>-3349.48</v>
      </c>
      <c r="Y47" s="3"/>
      <c r="Z47" s="7">
        <f t="shared" si="37"/>
        <v>-0.97950899972218564</v>
      </c>
    </row>
    <row r="48" spans="1:26" s="29" customFormat="1" outlineLevel="1" collapsed="1" x14ac:dyDescent="0.3">
      <c r="A48" s="28"/>
      <c r="B48" s="14" t="str">
        <f>CONCATENATE("     ","R/H Commissions                                   ")</f>
        <v xml:space="preserve">     R/H Commissions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1151.68</v>
      </c>
      <c r="I48" s="1"/>
      <c r="J48" s="5">
        <f t="shared" si="31"/>
        <v>5.9586339347431079E-2</v>
      </c>
      <c r="K48" s="1"/>
      <c r="L48" s="1">
        <f t="shared" si="32"/>
        <v>-1151.68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1151.68</v>
      </c>
      <c r="U48" s="1"/>
      <c r="V48" s="5">
        <f t="shared" si="35"/>
        <v>5.9586339347431079E-2</v>
      </c>
      <c r="W48" s="1"/>
      <c r="X48" s="1">
        <f t="shared" si="36"/>
        <v>-1151.68</v>
      </c>
      <c r="Y48" s="1"/>
      <c r="Z48" s="5">
        <f t="shared" si="37"/>
        <v>-1</v>
      </c>
    </row>
    <row r="49" spans="1:26" s="24" customFormat="1" hidden="1" outlineLevel="2" x14ac:dyDescent="0.3">
      <c r="A49" s="27"/>
      <c r="B49" s="12" t="str">
        <f>CONCATENATE("          ", "6387", " - ", "COMMISSION DUE HOUSING")</f>
        <v xml:space="preserve">          6387 - COMMISSION DUE HOUSING</v>
      </c>
      <c r="C49" s="12"/>
      <c r="D49" s="8"/>
      <c r="E49" s="3"/>
      <c r="F49" s="7">
        <f t="shared" si="30"/>
        <v>0</v>
      </c>
      <c r="G49" s="3"/>
      <c r="H49" s="8">
        <v>1151.68</v>
      </c>
      <c r="I49" s="3"/>
      <c r="J49" s="7">
        <f t="shared" si="31"/>
        <v>5.9586339347431079E-2</v>
      </c>
      <c r="K49" s="3"/>
      <c r="L49" s="8">
        <f t="shared" si="32"/>
        <v>-1151.68</v>
      </c>
      <c r="M49" s="3"/>
      <c r="N49" s="7">
        <f t="shared" si="33"/>
        <v>-1</v>
      </c>
      <c r="O49" s="12"/>
      <c r="P49" s="8"/>
      <c r="Q49" s="3"/>
      <c r="R49" s="7">
        <f t="shared" si="34"/>
        <v>0</v>
      </c>
      <c r="S49" s="3"/>
      <c r="T49" s="8">
        <v>1151.68</v>
      </c>
      <c r="U49" s="3"/>
      <c r="V49" s="7">
        <f t="shared" si="35"/>
        <v>5.9586339347431079E-2</v>
      </c>
      <c r="W49" s="3"/>
      <c r="X49" s="8">
        <f t="shared" si="36"/>
        <v>-1151.68</v>
      </c>
      <c r="Y49" s="3"/>
      <c r="Z49" s="7">
        <f t="shared" si="37"/>
        <v>-1</v>
      </c>
    </row>
    <row r="50" spans="1:26" s="29" customFormat="1" outlineLevel="1" collapsed="1" x14ac:dyDescent="0.3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4846.3799999999992</v>
      </c>
      <c r="E50" s="1"/>
      <c r="F50" s="5">
        <f t="shared" si="30"/>
        <v>0</v>
      </c>
      <c r="G50" s="1"/>
      <c r="H50" s="1">
        <f>SUM(OSRRefH22_8x_0)</f>
        <v>9908.1500000000015</v>
      </c>
      <c r="I50" s="1"/>
      <c r="J50" s="5">
        <f t="shared" si="31"/>
        <v>0.51263405477671686</v>
      </c>
      <c r="K50" s="1"/>
      <c r="L50" s="1">
        <f t="shared" si="32"/>
        <v>-5061.7700000000023</v>
      </c>
      <c r="M50" s="1"/>
      <c r="N50" s="5">
        <f t="shared" si="33"/>
        <v>-0.51086933484051023</v>
      </c>
      <c r="O50" s="14"/>
      <c r="P50" s="1">
        <f>SUM(OSRRefP22_8x_0)</f>
        <v>4846.3799999999992</v>
      </c>
      <c r="Q50" s="1"/>
      <c r="R50" s="5">
        <f t="shared" si="34"/>
        <v>0</v>
      </c>
      <c r="S50" s="1"/>
      <c r="T50" s="1">
        <f>SUM(OSRRefT22_8x_0)</f>
        <v>9908.1500000000015</v>
      </c>
      <c r="U50" s="1"/>
      <c r="V50" s="5">
        <f t="shared" si="35"/>
        <v>0.51263405477671686</v>
      </c>
      <c r="W50" s="1"/>
      <c r="X50" s="1">
        <f t="shared" si="36"/>
        <v>-5061.7700000000023</v>
      </c>
      <c r="Y50" s="1"/>
      <c r="Z50" s="5">
        <f t="shared" si="37"/>
        <v>-0.51086933484051023</v>
      </c>
    </row>
    <row r="51" spans="1:26" s="24" customFormat="1" hidden="1" outlineLevel="2" x14ac:dyDescent="0.3">
      <c r="A51" s="27"/>
      <c r="B51" s="12" t="str">
        <f>CONCATENATE("          ", "6282", " - ", "JANITORIAL/EXTERMINATOR EXPENS")</f>
        <v xml:space="preserve">          6282 - JANITORIAL/EXTERMINATOR EXPENS</v>
      </c>
      <c r="C51" s="12"/>
      <c r="D51" s="8">
        <v>417.52</v>
      </c>
      <c r="E51" s="3"/>
      <c r="F51" s="7">
        <f t="shared" si="30"/>
        <v>0</v>
      </c>
      <c r="G51" s="3"/>
      <c r="H51" s="8">
        <v>130.69999999999999</v>
      </c>
      <c r="I51" s="3"/>
      <c r="J51" s="7">
        <f t="shared" si="31"/>
        <v>6.7622382542974098E-3</v>
      </c>
      <c r="K51" s="3"/>
      <c r="L51" s="8">
        <f t="shared" si="32"/>
        <v>286.82</v>
      </c>
      <c r="M51" s="3"/>
      <c r="N51" s="7">
        <f t="shared" si="33"/>
        <v>2.1944912012241775</v>
      </c>
      <c r="O51" s="12"/>
      <c r="P51" s="8">
        <v>417.52</v>
      </c>
      <c r="Q51" s="3"/>
      <c r="R51" s="7">
        <f t="shared" si="34"/>
        <v>0</v>
      </c>
      <c r="S51" s="3"/>
      <c r="T51" s="8">
        <v>130.69999999999999</v>
      </c>
      <c r="U51" s="3"/>
      <c r="V51" s="7">
        <f t="shared" si="35"/>
        <v>6.7622382542974098E-3</v>
      </c>
      <c r="W51" s="3"/>
      <c r="X51" s="8">
        <f t="shared" si="36"/>
        <v>286.82</v>
      </c>
      <c r="Y51" s="3"/>
      <c r="Z51" s="7">
        <f t="shared" si="37"/>
        <v>2.1944912012241775</v>
      </c>
    </row>
    <row r="52" spans="1:26" s="24" customFormat="1" hidden="1" outlineLevel="2" x14ac:dyDescent="0.3">
      <c r="A52" s="27"/>
      <c r="B52" s="12" t="str">
        <f>CONCATENATE("          ", "6285", " - ", "JANITORIAL SERVICES")</f>
        <v xml:space="preserve">          6285 - JANITORIAL SERVICES</v>
      </c>
      <c r="C52" s="12"/>
      <c r="D52" s="8">
        <v>4428.8599999999997</v>
      </c>
      <c r="E52" s="3"/>
      <c r="F52" s="7">
        <f t="shared" si="30"/>
        <v>0</v>
      </c>
      <c r="G52" s="3"/>
      <c r="H52" s="8">
        <v>8314.1</v>
      </c>
      <c r="I52" s="3"/>
      <c r="J52" s="7">
        <f t="shared" si="31"/>
        <v>0.43016010000041399</v>
      </c>
      <c r="K52" s="3"/>
      <c r="L52" s="8">
        <f t="shared" si="32"/>
        <v>-3885.2400000000007</v>
      </c>
      <c r="M52" s="3"/>
      <c r="N52" s="7">
        <f t="shared" si="33"/>
        <v>-0.46730734535307494</v>
      </c>
      <c r="O52" s="12"/>
      <c r="P52" s="8">
        <v>4428.8599999999997</v>
      </c>
      <c r="Q52" s="3"/>
      <c r="R52" s="7">
        <f t="shared" si="34"/>
        <v>0</v>
      </c>
      <c r="S52" s="3"/>
      <c r="T52" s="8">
        <v>8314.1</v>
      </c>
      <c r="U52" s="3"/>
      <c r="V52" s="7">
        <f t="shared" si="35"/>
        <v>0.43016010000041399</v>
      </c>
      <c r="W52" s="3"/>
      <c r="X52" s="8">
        <f t="shared" si="36"/>
        <v>-3885.2400000000007</v>
      </c>
      <c r="Y52" s="3"/>
      <c r="Z52" s="7">
        <f t="shared" si="37"/>
        <v>-0.46730734535307494</v>
      </c>
    </row>
    <row r="53" spans="1:26" s="24" customFormat="1" hidden="1" outlineLevel="2" x14ac:dyDescent="0.3">
      <c r="A53" s="27"/>
      <c r="B53" s="12" t="str">
        <f>CONCATENATE("          ", "6286", " - ", "LAUNDRY EXPENSE")</f>
        <v xml:space="preserve">          6286 - LAUNDRY EXPENSE</v>
      </c>
      <c r="C53" s="12"/>
      <c r="D53" s="8"/>
      <c r="E53" s="3"/>
      <c r="F53" s="7">
        <f t="shared" si="30"/>
        <v>0</v>
      </c>
      <c r="G53" s="3"/>
      <c r="H53" s="8">
        <v>1463.35</v>
      </c>
      <c r="I53" s="3"/>
      <c r="J53" s="7">
        <f t="shared" si="31"/>
        <v>7.5711716522005479E-2</v>
      </c>
      <c r="K53" s="3"/>
      <c r="L53" s="8">
        <f t="shared" si="32"/>
        <v>-1463.35</v>
      </c>
      <c r="M53" s="3"/>
      <c r="N53" s="7">
        <f t="shared" si="33"/>
        <v>-1</v>
      </c>
      <c r="O53" s="12"/>
      <c r="P53" s="8"/>
      <c r="Q53" s="3"/>
      <c r="R53" s="7">
        <f t="shared" si="34"/>
        <v>0</v>
      </c>
      <c r="S53" s="3"/>
      <c r="T53" s="8">
        <v>1463.35</v>
      </c>
      <c r="U53" s="3"/>
      <c r="V53" s="7">
        <f t="shared" si="35"/>
        <v>7.5711716522005479E-2</v>
      </c>
      <c r="W53" s="3"/>
      <c r="X53" s="8">
        <f t="shared" si="36"/>
        <v>-1463.35</v>
      </c>
      <c r="Y53" s="3"/>
      <c r="Z53" s="7">
        <f t="shared" si="37"/>
        <v>-1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4.5</v>
      </c>
      <c r="E54" s="1"/>
      <c r="F54" s="5">
        <f t="shared" ref="F54:F59" si="38">IF(D$12=0,0,D54/D$12)</f>
        <v>0</v>
      </c>
      <c r="G54" s="1"/>
      <c r="H54" s="1">
        <f>SUM(OSRRefH22_9x_0)</f>
        <v>1929.3200000000002</v>
      </c>
      <c r="I54" s="1"/>
      <c r="J54" s="5">
        <f t="shared" ref="J54:J59" si="39">IF(H$12=0,0,H54/H$12)</f>
        <v>9.9820363494882033E-2</v>
      </c>
      <c r="K54" s="1"/>
      <c r="L54" s="1">
        <f t="shared" ref="L54:L59" si="40">+D54-H54</f>
        <v>-1924.8200000000002</v>
      </c>
      <c r="M54" s="1"/>
      <c r="N54" s="5">
        <f t="shared" ref="N54:N59" si="41">IF(H54=0,0,L54/H54)</f>
        <v>-0.9976675719942778</v>
      </c>
      <c r="O54" s="14"/>
      <c r="P54" s="1">
        <f>SUM(OSRRefP22_9x_0)</f>
        <v>4.5</v>
      </c>
      <c r="Q54" s="1"/>
      <c r="R54" s="5">
        <f t="shared" ref="R54:R59" si="42">IF(P$12=0,0,P54/P$12)</f>
        <v>0</v>
      </c>
      <c r="S54" s="1"/>
      <c r="T54" s="1">
        <f>SUM(OSRRefT22_9x_0)</f>
        <v>1929.3200000000002</v>
      </c>
      <c r="U54" s="1"/>
      <c r="V54" s="5">
        <f t="shared" ref="V54:V59" si="43">IF(T$12=0,0,T54/T$12)</f>
        <v>9.9820363494882033E-2</v>
      </c>
      <c r="W54" s="1"/>
      <c r="X54" s="1">
        <f t="shared" ref="X54:X59" si="44">+P54-T54</f>
        <v>-1924.8200000000002</v>
      </c>
      <c r="Y54" s="1"/>
      <c r="Z54" s="5">
        <f t="shared" ref="Z54:Z59" si="45">IF(T54=0,0,X54/T54)</f>
        <v>-0.9976675719942778</v>
      </c>
    </row>
    <row r="55" spans="1:26" s="24" customFormat="1" hidden="1" outlineLevel="2" x14ac:dyDescent="0.3">
      <c r="A55" s="27"/>
      <c r="B55" s="12" t="str">
        <f>CONCATENATE("          ", "6235", " - ", "COVID-19 EXPENSES")</f>
        <v xml:space="preserve">          6235 - COVID-19 EXPENSES</v>
      </c>
      <c r="C55" s="12"/>
      <c r="D55" s="8"/>
      <c r="E55" s="3"/>
      <c r="F55" s="7">
        <f t="shared" si="38"/>
        <v>0</v>
      </c>
      <c r="G55" s="3"/>
      <c r="H55" s="8">
        <v>26.92</v>
      </c>
      <c r="I55" s="3"/>
      <c r="J55" s="7">
        <f t="shared" si="39"/>
        <v>1.3928037781613337E-3</v>
      </c>
      <c r="K55" s="3"/>
      <c r="L55" s="8">
        <f t="shared" si="40"/>
        <v>-26.92</v>
      </c>
      <c r="M55" s="3"/>
      <c r="N55" s="7">
        <f t="shared" si="41"/>
        <v>-1</v>
      </c>
      <c r="O55" s="12"/>
      <c r="P55" s="8"/>
      <c r="Q55" s="3"/>
      <c r="R55" s="7">
        <f t="shared" si="42"/>
        <v>0</v>
      </c>
      <c r="S55" s="3"/>
      <c r="T55" s="8">
        <v>26.92</v>
      </c>
      <c r="U55" s="3"/>
      <c r="V55" s="7">
        <f t="shared" si="43"/>
        <v>1.3928037781613337E-3</v>
      </c>
      <c r="W55" s="3"/>
      <c r="X55" s="8">
        <f t="shared" si="44"/>
        <v>-26.92</v>
      </c>
      <c r="Y55" s="3"/>
      <c r="Z55" s="7">
        <f t="shared" si="45"/>
        <v>-1</v>
      </c>
    </row>
    <row r="56" spans="1:26" s="24" customFormat="1" hidden="1" outlineLevel="2" x14ac:dyDescent="0.3">
      <c r="A56" s="27"/>
      <c r="B56" s="12" t="str">
        <f>CONCATENATE("          ", "6237", " - ", "JANITORIAL SUPPLIES")</f>
        <v xml:space="preserve">          6237 - JANITORIAL SUPPLIES</v>
      </c>
      <c r="C56" s="12"/>
      <c r="D56" s="8"/>
      <c r="E56" s="3"/>
      <c r="F56" s="7">
        <f t="shared" si="38"/>
        <v>0</v>
      </c>
      <c r="G56" s="3"/>
      <c r="H56" s="8">
        <v>1188.04</v>
      </c>
      <c r="I56" s="3"/>
      <c r="J56" s="7">
        <f t="shared" si="39"/>
        <v>6.1467555743194305E-2</v>
      </c>
      <c r="K56" s="3"/>
      <c r="L56" s="8">
        <f t="shared" si="40"/>
        <v>-1188.04</v>
      </c>
      <c r="M56" s="3"/>
      <c r="N56" s="7">
        <f t="shared" si="41"/>
        <v>-1</v>
      </c>
      <c r="O56" s="12"/>
      <c r="P56" s="8"/>
      <c r="Q56" s="3"/>
      <c r="R56" s="7">
        <f t="shared" si="42"/>
        <v>0</v>
      </c>
      <c r="S56" s="3"/>
      <c r="T56" s="8">
        <v>1188.04</v>
      </c>
      <c r="U56" s="3"/>
      <c r="V56" s="7">
        <f t="shared" si="43"/>
        <v>6.1467555743194305E-2</v>
      </c>
      <c r="W56" s="3"/>
      <c r="X56" s="8">
        <f t="shared" si="44"/>
        <v>-1188.04</v>
      </c>
      <c r="Y56" s="3"/>
      <c r="Z56" s="7">
        <f t="shared" si="45"/>
        <v>-1</v>
      </c>
    </row>
    <row r="57" spans="1:26" s="24" customFormat="1" hidden="1" outlineLevel="2" x14ac:dyDescent="0.3">
      <c r="A57" s="27"/>
      <c r="B57" s="12" t="str">
        <f>CONCATENATE("          ", "6239", " - ", "KITCHEN SUPPLIES")</f>
        <v xml:space="preserve">          6239 - KITCHEN SUPPLIES</v>
      </c>
      <c r="C57" s="12"/>
      <c r="D57" s="8"/>
      <c r="E57" s="3"/>
      <c r="F57" s="7">
        <f t="shared" si="38"/>
        <v>0</v>
      </c>
      <c r="G57" s="3"/>
      <c r="H57" s="8">
        <v>50</v>
      </c>
      <c r="I57" s="3"/>
      <c r="J57" s="7">
        <f t="shared" si="39"/>
        <v>2.5869312372981679E-3</v>
      </c>
      <c r="K57" s="3"/>
      <c r="L57" s="8">
        <f t="shared" si="40"/>
        <v>-50</v>
      </c>
      <c r="M57" s="3"/>
      <c r="N57" s="7">
        <f t="shared" si="41"/>
        <v>-1</v>
      </c>
      <c r="O57" s="12"/>
      <c r="P57" s="8"/>
      <c r="Q57" s="3"/>
      <c r="R57" s="7">
        <f t="shared" si="42"/>
        <v>0</v>
      </c>
      <c r="S57" s="3"/>
      <c r="T57" s="8">
        <v>50</v>
      </c>
      <c r="U57" s="3"/>
      <c r="V57" s="7">
        <f t="shared" si="43"/>
        <v>2.5869312372981679E-3</v>
      </c>
      <c r="W57" s="3"/>
      <c r="X57" s="8">
        <f t="shared" si="44"/>
        <v>-50</v>
      </c>
      <c r="Y57" s="3"/>
      <c r="Z57" s="7">
        <f t="shared" si="45"/>
        <v>-1</v>
      </c>
    </row>
    <row r="58" spans="1:26" s="24" customFormat="1" hidden="1" outlineLevel="2" x14ac:dyDescent="0.3">
      <c r="A58" s="27"/>
      <c r="B58" s="12" t="str">
        <f>CONCATENATE("          ", "6241", " - ", "OFFICE EXPENSE")</f>
        <v xml:space="preserve">          6241 - OFFICE EXPENSE</v>
      </c>
      <c r="C58" s="12"/>
      <c r="D58" s="8">
        <v>4.5</v>
      </c>
      <c r="E58" s="3"/>
      <c r="F58" s="7">
        <f t="shared" si="38"/>
        <v>0</v>
      </c>
      <c r="G58" s="3"/>
      <c r="H58" s="8">
        <v>16.48</v>
      </c>
      <c r="I58" s="3"/>
      <c r="J58" s="7">
        <f t="shared" si="39"/>
        <v>8.5265253581347613E-4</v>
      </c>
      <c r="K58" s="3"/>
      <c r="L58" s="8">
        <f t="shared" si="40"/>
        <v>-11.98</v>
      </c>
      <c r="M58" s="3"/>
      <c r="N58" s="7">
        <f t="shared" si="41"/>
        <v>-0.72694174757281549</v>
      </c>
      <c r="O58" s="12"/>
      <c r="P58" s="8">
        <v>4.5</v>
      </c>
      <c r="Q58" s="3"/>
      <c r="R58" s="7">
        <f t="shared" si="42"/>
        <v>0</v>
      </c>
      <c r="S58" s="3"/>
      <c r="T58" s="8">
        <v>16.48</v>
      </c>
      <c r="U58" s="3"/>
      <c r="V58" s="7">
        <f t="shared" si="43"/>
        <v>8.5265253581347613E-4</v>
      </c>
      <c r="W58" s="3"/>
      <c r="X58" s="8">
        <f t="shared" si="44"/>
        <v>-11.98</v>
      </c>
      <c r="Y58" s="3"/>
      <c r="Z58" s="7">
        <f t="shared" si="45"/>
        <v>-0.72694174757281549</v>
      </c>
    </row>
    <row r="59" spans="1:26" s="24" customFormat="1" hidden="1" outlineLevel="2" x14ac:dyDescent="0.3">
      <c r="A59" s="27"/>
      <c r="B59" s="12" t="str">
        <f>CONCATENATE("          ", "6243", " - ", "PAPER SUPPLIES")</f>
        <v xml:space="preserve">          6243 - PAPER SUPPLIES</v>
      </c>
      <c r="C59" s="12"/>
      <c r="D59" s="8"/>
      <c r="E59" s="3"/>
      <c r="F59" s="7">
        <f t="shared" si="38"/>
        <v>0</v>
      </c>
      <c r="G59" s="3"/>
      <c r="H59" s="8">
        <v>647.88</v>
      </c>
      <c r="I59" s="3"/>
      <c r="J59" s="7">
        <f t="shared" si="39"/>
        <v>3.3520420200414743E-2</v>
      </c>
      <c r="K59" s="3"/>
      <c r="L59" s="8">
        <f t="shared" si="40"/>
        <v>-647.88</v>
      </c>
      <c r="M59" s="3"/>
      <c r="N59" s="7">
        <f t="shared" si="41"/>
        <v>-1</v>
      </c>
      <c r="O59" s="12"/>
      <c r="P59" s="8"/>
      <c r="Q59" s="3"/>
      <c r="R59" s="7">
        <f t="shared" si="42"/>
        <v>0</v>
      </c>
      <c r="S59" s="3"/>
      <c r="T59" s="8">
        <v>647.88</v>
      </c>
      <c r="U59" s="3"/>
      <c r="V59" s="7">
        <f t="shared" si="43"/>
        <v>3.3520420200414743E-2</v>
      </c>
      <c r="W59" s="3"/>
      <c r="X59" s="8">
        <f t="shared" si="44"/>
        <v>-647.88</v>
      </c>
      <c r="Y59" s="3"/>
      <c r="Z59" s="7">
        <f t="shared" si="45"/>
        <v>-1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SUM(OSRRefD22_10x_0)</f>
        <v>164</v>
      </c>
      <c r="E60" s="1"/>
      <c r="F60" s="5">
        <f t="shared" ref="F60:F61" si="46">IF(D$12=0,0,D60/D$12)</f>
        <v>0</v>
      </c>
      <c r="G60" s="1"/>
      <c r="H60" s="1">
        <f>SUM(OSRRefH22_10x_0)</f>
        <v>139</v>
      </c>
      <c r="I60" s="1"/>
      <c r="J60" s="5">
        <f t="shared" ref="J60:J61" si="47">IF(H$12=0,0,H60/H$12)</f>
        <v>7.191668839688907E-3</v>
      </c>
      <c r="K60" s="1"/>
      <c r="L60" s="1">
        <f t="shared" ref="L60:L61" si="48">+D60-H60</f>
        <v>25</v>
      </c>
      <c r="M60" s="1"/>
      <c r="N60" s="5">
        <f t="shared" ref="N60:N61" si="49">IF(H60=0,0,L60/H60)</f>
        <v>0.17985611510791366</v>
      </c>
      <c r="O60" s="14"/>
      <c r="P60" s="1">
        <f>SUM(OSRRefP22_10x_0)</f>
        <v>164</v>
      </c>
      <c r="Q60" s="1"/>
      <c r="R60" s="5">
        <f t="shared" ref="R60:R61" si="50">IF(P$12=0,0,P60/P$12)</f>
        <v>0</v>
      </c>
      <c r="S60" s="1"/>
      <c r="T60" s="1">
        <f>SUM(OSRRefT22_10x_0)</f>
        <v>139</v>
      </c>
      <c r="U60" s="1"/>
      <c r="V60" s="5">
        <f t="shared" ref="V60:V61" si="51">IF(T$12=0,0,T60/T$12)</f>
        <v>7.191668839688907E-3</v>
      </c>
      <c r="W60" s="1"/>
      <c r="X60" s="1">
        <f t="shared" ref="X60:X61" si="52">+P60-T60</f>
        <v>25</v>
      </c>
      <c r="Y60" s="1"/>
      <c r="Z60" s="5">
        <f t="shared" ref="Z60:Z61" si="53">IF(T60=0,0,X60/T60)</f>
        <v>0.17985611510791366</v>
      </c>
    </row>
    <row r="61" spans="1:26" s="24" customFormat="1" hidden="1" outlineLevel="2" x14ac:dyDescent="0.3">
      <c r="A61" s="27"/>
      <c r="B61" s="12" t="str">
        <f>CONCATENATE("          ", "6309", " - ", "TELEPHONE")</f>
        <v xml:space="preserve">          6309 - TELEPHONE</v>
      </c>
      <c r="C61" s="12"/>
      <c r="D61" s="8">
        <v>164</v>
      </c>
      <c r="E61" s="3"/>
      <c r="F61" s="7">
        <f t="shared" si="46"/>
        <v>0</v>
      </c>
      <c r="G61" s="3"/>
      <c r="H61" s="8">
        <v>139</v>
      </c>
      <c r="I61" s="3"/>
      <c r="J61" s="7">
        <f t="shared" si="47"/>
        <v>7.191668839688907E-3</v>
      </c>
      <c r="K61" s="3"/>
      <c r="L61" s="8">
        <f t="shared" si="48"/>
        <v>25</v>
      </c>
      <c r="M61" s="3"/>
      <c r="N61" s="7">
        <f t="shared" si="49"/>
        <v>0.17985611510791366</v>
      </c>
      <c r="O61" s="12"/>
      <c r="P61" s="8">
        <v>164</v>
      </c>
      <c r="Q61" s="3"/>
      <c r="R61" s="7">
        <f t="shared" si="50"/>
        <v>0</v>
      </c>
      <c r="S61" s="3"/>
      <c r="T61" s="8">
        <v>139</v>
      </c>
      <c r="U61" s="3"/>
      <c r="V61" s="7">
        <f t="shared" si="51"/>
        <v>7.191668839688907E-3</v>
      </c>
      <c r="W61" s="3"/>
      <c r="X61" s="8">
        <f t="shared" si="52"/>
        <v>25</v>
      </c>
      <c r="Y61" s="3"/>
      <c r="Z61" s="7">
        <f t="shared" si="53"/>
        <v>0.17985611510791366</v>
      </c>
    </row>
    <row r="62" spans="1:26" s="53" customFormat="1" x14ac:dyDescent="0.3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3">
      <c r="A63" s="10"/>
      <c r="B63" s="25" t="s">
        <v>292</v>
      </c>
      <c r="C63" s="10"/>
      <c r="D63" s="4">
        <f>SUM(0)</f>
        <v>0</v>
      </c>
      <c r="E63" s="4"/>
      <c r="F63" s="11">
        <f>IF(D$12=0,0,D63/D$12)</f>
        <v>0</v>
      </c>
      <c r="G63" s="4"/>
      <c r="H63" s="4">
        <f>SUM(0)</f>
        <v>0</v>
      </c>
      <c r="I63" s="4"/>
      <c r="J63" s="11">
        <f>IF(H$12=0,0,H63/H$12)</f>
        <v>0</v>
      </c>
      <c r="K63" s="4"/>
      <c r="L63" s="4">
        <f>+D63-H63</f>
        <v>0</v>
      </c>
      <c r="M63" s="4"/>
      <c r="N63" s="11">
        <f>IF(H63=0,0,L63/H63)</f>
        <v>0</v>
      </c>
      <c r="O63" s="10"/>
      <c r="P63" s="4">
        <f>SUM(0)</f>
        <v>0</v>
      </c>
      <c r="Q63" s="4"/>
      <c r="R63" s="11">
        <f>IF(P$12=0,0,P63/P$12)</f>
        <v>0</v>
      </c>
      <c r="S63" s="4"/>
      <c r="T63" s="4">
        <f>SUM(0)</f>
        <v>0</v>
      </c>
      <c r="U63" s="4"/>
      <c r="V63" s="11">
        <f>IF(T$12=0,0,T63/T$12)</f>
        <v>0</v>
      </c>
      <c r="W63" s="4"/>
      <c r="X63" s="4">
        <f>+P63-T63</f>
        <v>0</v>
      </c>
      <c r="Y63" s="4"/>
      <c r="Z63" s="11">
        <f>IF(T63=0,0,X63/T63)</f>
        <v>0</v>
      </c>
    </row>
    <row r="64" spans="1:26" x14ac:dyDescent="0.3">
      <c r="A64" s="9"/>
      <c r="B64" s="10"/>
      <c r="C64" s="10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10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23" customFormat="1" x14ac:dyDescent="0.3">
      <c r="A65" s="10"/>
      <c r="B65" s="26" t="s">
        <v>276</v>
      </c>
      <c r="C65" s="26"/>
      <c r="D65" s="20">
        <f>+D21-D23+D63</f>
        <v>-41498.81</v>
      </c>
      <c r="E65" s="13"/>
      <c r="F65" s="21">
        <f>IF(D$12=0,0,D65/D$12)</f>
        <v>0</v>
      </c>
      <c r="G65" s="13"/>
      <c r="H65" s="20">
        <f>+H21-H23+H63</f>
        <v>-51821.229999999996</v>
      </c>
      <c r="I65" s="13"/>
      <c r="J65" s="21">
        <f>IF(H$12=0,0,H65/H$12)</f>
        <v>-2.6811591728442585</v>
      </c>
      <c r="K65" s="16"/>
      <c r="L65" s="20">
        <f>+D65-H65</f>
        <v>10322.419999999998</v>
      </c>
      <c r="M65" s="16"/>
      <c r="N65" s="21">
        <f>IF(H65=0,0,L65/H65)</f>
        <v>-0.19919287905748279</v>
      </c>
      <c r="O65" s="25"/>
      <c r="P65" s="20">
        <f>+P21-P23+P63</f>
        <v>-41498.81</v>
      </c>
      <c r="Q65" s="13"/>
      <c r="R65" s="21">
        <f>IF(P$12=0,0,P65/P$12)</f>
        <v>0</v>
      </c>
      <c r="S65" s="13"/>
      <c r="T65" s="20">
        <f>+T21-T23+T63</f>
        <v>-51821.229999999996</v>
      </c>
      <c r="U65" s="13"/>
      <c r="V65" s="21">
        <f>IF(T$12=0,0,T65/T$12)</f>
        <v>-2.6811591728442585</v>
      </c>
      <c r="W65" s="16"/>
      <c r="X65" s="20">
        <f>+P65-T65</f>
        <v>10322.419999999998</v>
      </c>
      <c r="Y65" s="16"/>
      <c r="Z65" s="21">
        <f>IF(T65=0,0,X65/T65)</f>
        <v>-0.19919287905748279</v>
      </c>
    </row>
    <row r="66" spans="1:26" x14ac:dyDescent="0.3">
      <c r="A66" s="9"/>
      <c r="B66" s="10"/>
      <c r="C66" s="9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3">
      <c r="A67" s="51"/>
      <c r="B67" s="10" t="s">
        <v>127</v>
      </c>
      <c r="C67" s="10"/>
      <c r="D67" s="4"/>
      <c r="E67" s="4"/>
      <c r="F67" s="11">
        <f>IF(D$12=0,0,D67/D$12)</f>
        <v>0</v>
      </c>
      <c r="G67" s="4"/>
      <c r="H67" s="4">
        <v>9295.7000000000007</v>
      </c>
      <c r="I67" s="4"/>
      <c r="J67" s="11">
        <f>IF(H$12=0,0,H67/H$12)</f>
        <v>0.48094673405105159</v>
      </c>
      <c r="K67" s="4"/>
      <c r="L67" s="4">
        <f>+D67-H67</f>
        <v>-9295.7000000000007</v>
      </c>
      <c r="M67" s="4"/>
      <c r="N67" s="11">
        <f>IF(H67=0,0,L67/H67)</f>
        <v>-1</v>
      </c>
      <c r="O67" s="10"/>
      <c r="P67" s="4"/>
      <c r="Q67" s="4"/>
      <c r="R67" s="11">
        <f>IF(P$12=0,0,P67/P$12)</f>
        <v>0</v>
      </c>
      <c r="S67" s="4"/>
      <c r="T67" s="4">
        <v>9295.7000000000007</v>
      </c>
      <c r="U67" s="4"/>
      <c r="V67" s="11">
        <f>IF(T$12=0,0,T67/T$12)</f>
        <v>0.48094673405105159</v>
      </c>
      <c r="W67" s="4"/>
      <c r="X67" s="4">
        <f>+P67-T67</f>
        <v>-9295.7000000000007</v>
      </c>
      <c r="Y67" s="4"/>
      <c r="Z67" s="11">
        <f>IF(T67=0,0,X67/T67)</f>
        <v>-1</v>
      </c>
    </row>
    <row r="68" spans="1:26" x14ac:dyDescent="0.3">
      <c r="A68" s="9"/>
      <c r="B68" s="10"/>
      <c r="C68" s="10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O68" s="10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ht="15" thickBot="1" x14ac:dyDescent="0.35">
      <c r="A69" s="10"/>
      <c r="B69" s="26" t="s">
        <v>125</v>
      </c>
      <c r="C69" s="26"/>
      <c r="D69" s="36">
        <f>+D65-D67</f>
        <v>-41498.81</v>
      </c>
      <c r="E69" s="13"/>
      <c r="F69" s="34">
        <f>IF(D$12=0,0,D69/D$12)</f>
        <v>0</v>
      </c>
      <c r="G69" s="13"/>
      <c r="H69" s="36">
        <f>+H65-H67</f>
        <v>-61116.929999999993</v>
      </c>
      <c r="I69" s="13"/>
      <c r="J69" s="34">
        <f>IF(H$12=0,0,H69/H$12)</f>
        <v>-3.1621059068953099</v>
      </c>
      <c r="K69" s="16"/>
      <c r="L69" s="36">
        <f>D69-H69</f>
        <v>19618.119999999995</v>
      </c>
      <c r="M69" s="16"/>
      <c r="N69" s="34">
        <f>IF(H69=0,0,L69/H69)</f>
        <v>-0.32099321742764236</v>
      </c>
      <c r="O69" s="25"/>
      <c r="P69" s="36">
        <f>+P65-P67</f>
        <v>-41498.81</v>
      </c>
      <c r="Q69" s="13"/>
      <c r="R69" s="34">
        <f>IF(P$12=0,0,P69/P$12)</f>
        <v>0</v>
      </c>
      <c r="S69" s="13"/>
      <c r="T69" s="36">
        <f>+T65-T67</f>
        <v>-61116.929999999993</v>
      </c>
      <c r="U69" s="13"/>
      <c r="V69" s="34">
        <f>IF(T$12=0,0,T69/T$12)</f>
        <v>-3.1621059068953099</v>
      </c>
      <c r="W69" s="16"/>
      <c r="X69" s="36">
        <f>P69-T69</f>
        <v>19618.119999999995</v>
      </c>
      <c r="Y69" s="16"/>
      <c r="Z69" s="34">
        <f>IF(T69=0,0,X69/T69)</f>
        <v>-0.32099321742764236</v>
      </c>
    </row>
    <row r="70" spans="1:26" ht="15" thickTop="1" x14ac:dyDescent="0.3">
      <c r="A70" s="9"/>
      <c r="B70" s="9"/>
      <c r="C70" s="9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x14ac:dyDescent="0.3">
      <c r="A71" s="9"/>
      <c r="B71" s="9"/>
      <c r="C71" s="9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23" customFormat="1" ht="15" thickBot="1" x14ac:dyDescent="0.35">
      <c r="A72" s="10"/>
      <c r="B72" s="26" t="s">
        <v>293</v>
      </c>
      <c r="C72" s="26"/>
      <c r="D72" s="31">
        <f>SUM(D69:D71)</f>
        <v>-41498.81</v>
      </c>
      <c r="E72" s="13"/>
      <c r="F72" s="33">
        <f>IF(D$12=0,0,D72/D$12)</f>
        <v>0</v>
      </c>
      <c r="G72" s="13"/>
      <c r="H72" s="31">
        <f>SUM(H69:H71)</f>
        <v>-61116.929999999993</v>
      </c>
      <c r="I72" s="13"/>
      <c r="J72" s="33">
        <f>IF(H$12=0,0,H72/H$12)</f>
        <v>-3.1621059068953099</v>
      </c>
      <c r="K72" s="16"/>
      <c r="L72" s="31">
        <f>+D72-H72</f>
        <v>19618.119999999995</v>
      </c>
      <c r="M72" s="16"/>
      <c r="N72" s="33">
        <f>IF(H72=0,0,L72/H72)</f>
        <v>-0.32099321742764236</v>
      </c>
      <c r="O72" s="25"/>
      <c r="P72" s="31">
        <f>SUM(P69:P71)</f>
        <v>-41498.81</v>
      </c>
      <c r="Q72" s="13"/>
      <c r="R72" s="33">
        <f>IF(P$12=0,0,P72/P$12)</f>
        <v>0</v>
      </c>
      <c r="S72" s="13"/>
      <c r="T72" s="31">
        <f>SUM(T69:T71)</f>
        <v>-61116.929999999993</v>
      </c>
      <c r="U72" s="13"/>
      <c r="V72" s="33">
        <f>IF(T$12=0,0,T72/T$12)</f>
        <v>-3.1621059068953099</v>
      </c>
      <c r="W72" s="16"/>
      <c r="X72" s="31">
        <f>+P72-T72</f>
        <v>19618.119999999995</v>
      </c>
      <c r="Y72" s="16"/>
      <c r="Z72" s="33">
        <f>IF(T72=0,0,X72/T72)</f>
        <v>-0.32099321742764236</v>
      </c>
    </row>
    <row r="73" spans="1:26" ht="15" thickTop="1" x14ac:dyDescent="0.3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3">
      <c r="A74" s="9"/>
      <c r="B74" s="59">
        <v>44462.666945868055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3">
      <c r="A75" s="9"/>
      <c r="B75" s="57" t="s">
        <v>56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">
      <c r="A76" s="9"/>
      <c r="B76" s="61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0</v>
      </c>
      <c r="E18" s="19"/>
      <c r="F18" s="35">
        <f t="shared" ref="F18:F20" si="0">IF(D$12=0,0,D18/D$12)</f>
        <v>0</v>
      </c>
      <c r="G18" s="19"/>
      <c r="H18" s="19">
        <f>SUM(OSRRefH22x_0)</f>
        <v>75.5</v>
      </c>
      <c r="I18" s="19"/>
      <c r="J18" s="35">
        <f t="shared" ref="J18:J20" si="1">IF(H$12=0,0,H18/H$12)</f>
        <v>0</v>
      </c>
      <c r="K18" s="4"/>
      <c r="L18" s="19">
        <f t="shared" ref="L18:L20" si="2">+D18-H18</f>
        <v>-75.5</v>
      </c>
      <c r="M18" s="4"/>
      <c r="N18" s="35">
        <f t="shared" ref="N18:N20" si="3">IF(H18=0,0,L18/H18)</f>
        <v>-1</v>
      </c>
      <c r="O18" s="10"/>
      <c r="P18" s="19">
        <f>SUM(OSRRefP22x_0)</f>
        <v>0</v>
      </c>
      <c r="Q18" s="19"/>
      <c r="R18" s="35">
        <f t="shared" ref="R18:R20" si="4">IF(P$12=0,0,P18/P$12)</f>
        <v>0</v>
      </c>
      <c r="S18" s="19"/>
      <c r="T18" s="19">
        <f>SUM(OSRRefT22x_0)</f>
        <v>75.5</v>
      </c>
      <c r="U18" s="19"/>
      <c r="V18" s="35">
        <f t="shared" ref="V18:V20" si="5">IF(T$12=0,0,T18/T$12)</f>
        <v>0</v>
      </c>
      <c r="W18" s="4"/>
      <c r="X18" s="19">
        <f t="shared" ref="X18:X20" si="6">+P18-T18</f>
        <v>-75.5</v>
      </c>
      <c r="Y18" s="4"/>
      <c r="Z18" s="35">
        <f t="shared" ref="Z18:Z20" si="7">IF(T18=0,0,X18/T18)</f>
        <v>-1</v>
      </c>
    </row>
    <row r="19" spans="1:26" s="29" customFormat="1" outlineLevel="1" collapsed="1" x14ac:dyDescent="0.3">
      <c r="A19" s="28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75.5</v>
      </c>
      <c r="I19" s="1"/>
      <c r="J19" s="5">
        <f t="shared" si="1"/>
        <v>0</v>
      </c>
      <c r="K19" s="1"/>
      <c r="L19" s="1">
        <f t="shared" si="2"/>
        <v>-75.5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75.5</v>
      </c>
      <c r="U19" s="1"/>
      <c r="V19" s="5">
        <f t="shared" si="5"/>
        <v>0</v>
      </c>
      <c r="W19" s="1"/>
      <c r="X19" s="1">
        <f t="shared" si="6"/>
        <v>-75.5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2" t="str">
        <f>CONCATENATE("          ", "6309", " - ", "TELEPHONE")</f>
        <v xml:space="preserve">          6309 - TELEPHONE</v>
      </c>
      <c r="C20" s="12"/>
      <c r="D20" s="8"/>
      <c r="E20" s="3"/>
      <c r="F20" s="7">
        <f t="shared" si="0"/>
        <v>0</v>
      </c>
      <c r="G20" s="3"/>
      <c r="H20" s="8">
        <v>75.5</v>
      </c>
      <c r="I20" s="3"/>
      <c r="J20" s="7">
        <f t="shared" si="1"/>
        <v>0</v>
      </c>
      <c r="K20" s="3"/>
      <c r="L20" s="8">
        <f t="shared" si="2"/>
        <v>-75.5</v>
      </c>
      <c r="M20" s="3"/>
      <c r="N20" s="7">
        <f t="shared" si="3"/>
        <v>-1</v>
      </c>
      <c r="O20" s="12"/>
      <c r="P20" s="8"/>
      <c r="Q20" s="3"/>
      <c r="R20" s="7">
        <f t="shared" si="4"/>
        <v>0</v>
      </c>
      <c r="S20" s="3"/>
      <c r="T20" s="8">
        <v>75.5</v>
      </c>
      <c r="U20" s="3"/>
      <c r="V20" s="7">
        <f t="shared" si="5"/>
        <v>0</v>
      </c>
      <c r="W20" s="3"/>
      <c r="X20" s="8">
        <f t="shared" si="6"/>
        <v>-75.5</v>
      </c>
      <c r="Y20" s="3"/>
      <c r="Z20" s="7">
        <f t="shared" si="7"/>
        <v>-1</v>
      </c>
    </row>
    <row r="21" spans="1:26" s="53" customFormat="1" x14ac:dyDescent="0.3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292</v>
      </c>
      <c r="C22" s="10"/>
      <c r="D22" s="4">
        <f>SUM(0)</f>
        <v>0</v>
      </c>
      <c r="E22" s="4"/>
      <c r="F22" s="11">
        <f>IF(D$12=0,0,D22/D$12)</f>
        <v>0</v>
      </c>
      <c r="G22" s="4"/>
      <c r="H22" s="4">
        <f>SUM(0)</f>
        <v>0</v>
      </c>
      <c r="I22" s="4"/>
      <c r="J22" s="11">
        <f>IF(H$12=0,0,H22/H$12)</f>
        <v>0</v>
      </c>
      <c r="K22" s="4"/>
      <c r="L22" s="4">
        <f>+D22-H22</f>
        <v>0</v>
      </c>
      <c r="M22" s="4"/>
      <c r="N22" s="11">
        <f>IF(H22=0,0,L22/H22)</f>
        <v>0</v>
      </c>
      <c r="O22" s="10"/>
      <c r="P22" s="4">
        <f>SUM(0)</f>
        <v>0</v>
      </c>
      <c r="Q22" s="4"/>
      <c r="R22" s="11">
        <f>IF(P$12=0,0,P22/P$12)</f>
        <v>0</v>
      </c>
      <c r="S22" s="4"/>
      <c r="T22" s="4">
        <f>SUM(0)</f>
        <v>0</v>
      </c>
      <c r="U22" s="4"/>
      <c r="V22" s="11">
        <f>IF(T$12=0,0,T22/T$12)</f>
        <v>0</v>
      </c>
      <c r="W22" s="4"/>
      <c r="X22" s="4">
        <f>+P22-T22</f>
        <v>0</v>
      </c>
      <c r="Y22" s="4"/>
      <c r="Z22" s="11">
        <f>IF(T22=0,0,X22/T22)</f>
        <v>0</v>
      </c>
    </row>
    <row r="23" spans="1:26" x14ac:dyDescent="0.3">
      <c r="A23" s="9"/>
      <c r="B23" s="10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10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23" customFormat="1" x14ac:dyDescent="0.3">
      <c r="A24" s="10"/>
      <c r="B24" s="26" t="s">
        <v>276</v>
      </c>
      <c r="C24" s="26"/>
      <c r="D24" s="20">
        <f>+D16-D18+D22</f>
        <v>0</v>
      </c>
      <c r="E24" s="13"/>
      <c r="F24" s="21">
        <f>IF(D$12=0,0,D24/D$12)</f>
        <v>0</v>
      </c>
      <c r="G24" s="13"/>
      <c r="H24" s="20">
        <f>+H16-H18+H22</f>
        <v>-75.5</v>
      </c>
      <c r="I24" s="13"/>
      <c r="J24" s="21">
        <f>IF(H$12=0,0,H24/H$12)</f>
        <v>0</v>
      </c>
      <c r="K24" s="16"/>
      <c r="L24" s="20">
        <f>+D24-H24</f>
        <v>75.5</v>
      </c>
      <c r="M24" s="16"/>
      <c r="N24" s="21">
        <f>IF(H24=0,0,L24/H24)</f>
        <v>-1</v>
      </c>
      <c r="O24" s="25"/>
      <c r="P24" s="20">
        <f>+P16-P18+P22</f>
        <v>0</v>
      </c>
      <c r="Q24" s="13"/>
      <c r="R24" s="21">
        <f>IF(P$12=0,0,P24/P$12)</f>
        <v>0</v>
      </c>
      <c r="S24" s="13"/>
      <c r="T24" s="20">
        <f>+T16-T18+T22</f>
        <v>-75.5</v>
      </c>
      <c r="U24" s="13"/>
      <c r="V24" s="21">
        <f>IF(T$12=0,0,T24/T$12)</f>
        <v>0</v>
      </c>
      <c r="W24" s="16"/>
      <c r="X24" s="20">
        <f>+P24-T24</f>
        <v>75.5</v>
      </c>
      <c r="Y24" s="16"/>
      <c r="Z24" s="21">
        <f>IF(T24=0,0,X24/T24)</f>
        <v>-1</v>
      </c>
    </row>
    <row r="25" spans="1:26" x14ac:dyDescent="0.3">
      <c r="A25" s="9"/>
      <c r="B25" s="10"/>
      <c r="C25" s="9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23" customFormat="1" x14ac:dyDescent="0.3">
      <c r="A26" s="51"/>
      <c r="B26" s="10" t="s">
        <v>127</v>
      </c>
      <c r="C26" s="10"/>
      <c r="D26" s="4"/>
      <c r="E26" s="4"/>
      <c r="F26" s="11">
        <f>IF(D$12=0,0,D26/D$12)</f>
        <v>0</v>
      </c>
      <c r="G26" s="4"/>
      <c r="H26" s="4"/>
      <c r="I26" s="4"/>
      <c r="J26" s="11">
        <f>IF(H$12=0,0,H26/H$12)</f>
        <v>0</v>
      </c>
      <c r="K26" s="4"/>
      <c r="L26" s="4">
        <f>+D26-H26</f>
        <v>0</v>
      </c>
      <c r="M26" s="4"/>
      <c r="N26" s="11">
        <f>IF(H26=0,0,L26/H26)</f>
        <v>0</v>
      </c>
      <c r="O26" s="10"/>
      <c r="P26" s="4"/>
      <c r="Q26" s="4"/>
      <c r="R26" s="11">
        <f>IF(P$12=0,0,P26/P$12)</f>
        <v>0</v>
      </c>
      <c r="S26" s="4"/>
      <c r="T26" s="4"/>
      <c r="U26" s="4"/>
      <c r="V26" s="11">
        <f>IF(T$12=0,0,T26/T$12)</f>
        <v>0</v>
      </c>
      <c r="W26" s="4"/>
      <c r="X26" s="4">
        <f>+P26-T26</f>
        <v>0</v>
      </c>
      <c r="Y26" s="4"/>
      <c r="Z26" s="11">
        <f>IF(T26=0,0,X26/T26)</f>
        <v>0</v>
      </c>
    </row>
    <row r="27" spans="1:26" x14ac:dyDescent="0.3">
      <c r="A27" s="9"/>
      <c r="B27" s="10"/>
      <c r="C27" s="10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10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23" customFormat="1" ht="15" thickBot="1" x14ac:dyDescent="0.35">
      <c r="A28" s="10"/>
      <c r="B28" s="26" t="s">
        <v>125</v>
      </c>
      <c r="C28" s="26"/>
      <c r="D28" s="36">
        <f>+D24-D26</f>
        <v>0</v>
      </c>
      <c r="E28" s="13"/>
      <c r="F28" s="34">
        <f>IF(D$12=0,0,D28/D$12)</f>
        <v>0</v>
      </c>
      <c r="G28" s="13"/>
      <c r="H28" s="36">
        <f>+H24-H26</f>
        <v>-75.5</v>
      </c>
      <c r="I28" s="13"/>
      <c r="J28" s="34">
        <f>IF(H$12=0,0,H28/H$12)</f>
        <v>0</v>
      </c>
      <c r="K28" s="16"/>
      <c r="L28" s="36">
        <f>D28-H28</f>
        <v>75.5</v>
      </c>
      <c r="M28" s="16"/>
      <c r="N28" s="34">
        <f>IF(H28=0,0,L28/H28)</f>
        <v>-1</v>
      </c>
      <c r="O28" s="25"/>
      <c r="P28" s="36">
        <f>+P24-P26</f>
        <v>0</v>
      </c>
      <c r="Q28" s="13"/>
      <c r="R28" s="34">
        <f>IF(P$12=0,0,P28/P$12)</f>
        <v>0</v>
      </c>
      <c r="S28" s="13"/>
      <c r="T28" s="36">
        <f>+T24-T26</f>
        <v>-75.5</v>
      </c>
      <c r="U28" s="13"/>
      <c r="V28" s="34">
        <f>IF(T$12=0,0,T28/T$12)</f>
        <v>0</v>
      </c>
      <c r="W28" s="16"/>
      <c r="X28" s="36">
        <f>P28-T28</f>
        <v>75.5</v>
      </c>
      <c r="Y28" s="16"/>
      <c r="Z28" s="34">
        <f>IF(T28=0,0,X28/T28)</f>
        <v>-1</v>
      </c>
    </row>
    <row r="29" spans="1:26" ht="15" thickTop="1" x14ac:dyDescent="0.3">
      <c r="A29" s="9"/>
      <c r="B29" s="9"/>
      <c r="C29" s="9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x14ac:dyDescent="0.3">
      <c r="A30" s="9"/>
      <c r="B30" s="9"/>
      <c r="C30" s="9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293</v>
      </c>
      <c r="C31" s="26"/>
      <c r="D31" s="31">
        <f>SUM(D28:D30)</f>
        <v>0</v>
      </c>
      <c r="E31" s="13"/>
      <c r="F31" s="33">
        <f>IF(D$12=0,0,D31/D$12)</f>
        <v>0</v>
      </c>
      <c r="G31" s="13"/>
      <c r="H31" s="31">
        <f>SUM(H28:H30)</f>
        <v>-75.5</v>
      </c>
      <c r="I31" s="13"/>
      <c r="J31" s="33">
        <f>IF(H$12=0,0,H31/H$12)</f>
        <v>0</v>
      </c>
      <c r="K31" s="16"/>
      <c r="L31" s="31">
        <f>+D31-H31</f>
        <v>75.5</v>
      </c>
      <c r="M31" s="16"/>
      <c r="N31" s="33">
        <f>IF(H31=0,0,L31/H31)</f>
        <v>-1</v>
      </c>
      <c r="O31" s="25"/>
      <c r="P31" s="31">
        <f>SUM(P28:P30)</f>
        <v>0</v>
      </c>
      <c r="Q31" s="13"/>
      <c r="R31" s="33">
        <f>IF(P$12=0,0,P31/P$12)</f>
        <v>0</v>
      </c>
      <c r="S31" s="13"/>
      <c r="T31" s="31">
        <f>SUM(T28:T30)</f>
        <v>-75.5</v>
      </c>
      <c r="U31" s="13"/>
      <c r="V31" s="33">
        <f>IF(T$12=0,0,T31/T$12)</f>
        <v>0</v>
      </c>
      <c r="W31" s="16"/>
      <c r="X31" s="31">
        <f>+P31-T31</f>
        <v>75.5</v>
      </c>
      <c r="Y31" s="16"/>
      <c r="Z31" s="33">
        <f>IF(T31=0,0,X31/T31)</f>
        <v>-1</v>
      </c>
    </row>
    <row r="32" spans="1:26" ht="15" thickTop="1" x14ac:dyDescent="0.3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3">
      <c r="A33" s="9"/>
      <c r="B33" s="59">
        <v>44462.666945868055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3">
      <c r="A34" s="9"/>
      <c r="B34" s="57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3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3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138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22987.35</v>
      </c>
      <c r="E12" s="4"/>
      <c r="F12" s="11"/>
      <c r="G12" s="4"/>
      <c r="H12" s="4">
        <f>SUM(OSRRefH13x_0)</f>
        <v>0</v>
      </c>
      <c r="I12" s="4"/>
      <c r="J12" s="11"/>
      <c r="K12" s="4"/>
      <c r="L12" s="4">
        <f t="shared" ref="L12:L15" si="0">+D12-H12</f>
        <v>22987.35</v>
      </c>
      <c r="M12" s="4"/>
      <c r="N12" s="11">
        <f t="shared" ref="N12:N15" si="1">IF(H12=0,0,L12/H12)</f>
        <v>0</v>
      </c>
      <c r="O12" s="10"/>
      <c r="P12" s="4">
        <f>SUM(OSRRefP13x_0)</f>
        <v>22987.35</v>
      </c>
      <c r="Q12" s="4"/>
      <c r="R12" s="11"/>
      <c r="S12" s="4"/>
      <c r="T12" s="4">
        <f>SUM(OSRRefT13x_0)</f>
        <v>0</v>
      </c>
      <c r="U12" s="4"/>
      <c r="V12" s="11"/>
      <c r="W12" s="4"/>
      <c r="X12" s="4">
        <f t="shared" ref="X12:X15" si="2">+P12-T12</f>
        <v>22987.35</v>
      </c>
      <c r="Y12" s="4"/>
      <c r="Z12" s="11">
        <f t="shared" ref="Z12:Z15" si="3">IF(T12=0,0,X12/T12)</f>
        <v>0</v>
      </c>
    </row>
    <row r="13" spans="1:26" s="24" customFormat="1" hidden="1" outlineLevel="1" x14ac:dyDescent="0.3">
      <c r="A13" s="50"/>
      <c r="B13" s="12" t="str">
        <f>CONCATENATE("          ", "4053", " - ", "TAXABLE SALES-FOOD")</f>
        <v xml:space="preserve">          4053 - TAXABLE SALES-FOOD</v>
      </c>
      <c r="C13" s="12"/>
      <c r="D13" s="3">
        <f>--106.64</f>
        <v>106.64</v>
      </c>
      <c r="E13" s="3"/>
      <c r="F13" s="22"/>
      <c r="G13" s="3"/>
      <c r="H13" s="3">
        <f t="shared" ref="H13:H15" si="4">0</f>
        <v>0</v>
      </c>
      <c r="I13" s="3"/>
      <c r="J13" s="22"/>
      <c r="K13" s="3"/>
      <c r="L13" s="3">
        <f t="shared" si="0"/>
        <v>106.64</v>
      </c>
      <c r="M13" s="3"/>
      <c r="N13" s="22">
        <f t="shared" si="1"/>
        <v>0</v>
      </c>
      <c r="O13" s="12"/>
      <c r="P13" s="3">
        <f>--106.64</f>
        <v>106.64</v>
      </c>
      <c r="Q13" s="3"/>
      <c r="R13" s="22"/>
      <c r="S13" s="3"/>
      <c r="T13" s="3">
        <f t="shared" ref="T13:T15" si="5">0</f>
        <v>0</v>
      </c>
      <c r="U13" s="3"/>
      <c r="V13" s="22"/>
      <c r="W13" s="3"/>
      <c r="X13" s="3">
        <f t="shared" si="2"/>
        <v>106.64</v>
      </c>
      <c r="Y13" s="3"/>
      <c r="Z13" s="22">
        <f t="shared" si="3"/>
        <v>0</v>
      </c>
    </row>
    <row r="14" spans="1:26" s="24" customFormat="1" hidden="1" outlineLevel="1" x14ac:dyDescent="0.3">
      <c r="A14" s="50"/>
      <c r="B14" s="12" t="str">
        <f>CONCATENATE("          ", "4151", " - ", "NON-TAXABLE SALES-FOOD")</f>
        <v xml:space="preserve">          4151 - NON-TAXABLE SALES-FOOD</v>
      </c>
      <c r="C14" s="12"/>
      <c r="D14" s="3">
        <f>--19600</f>
        <v>19600</v>
      </c>
      <c r="E14" s="3"/>
      <c r="F14" s="22"/>
      <c r="G14" s="3"/>
      <c r="H14" s="3">
        <f t="shared" si="4"/>
        <v>0</v>
      </c>
      <c r="I14" s="3"/>
      <c r="J14" s="22"/>
      <c r="K14" s="3"/>
      <c r="L14" s="3">
        <f t="shared" si="0"/>
        <v>19600</v>
      </c>
      <c r="M14" s="3"/>
      <c r="N14" s="22">
        <f t="shared" si="1"/>
        <v>0</v>
      </c>
      <c r="O14" s="12"/>
      <c r="P14" s="3">
        <f>--19600</f>
        <v>19600</v>
      </c>
      <c r="Q14" s="3"/>
      <c r="R14" s="22"/>
      <c r="S14" s="3"/>
      <c r="T14" s="3">
        <f t="shared" si="5"/>
        <v>0</v>
      </c>
      <c r="U14" s="3"/>
      <c r="V14" s="22"/>
      <c r="W14" s="3"/>
      <c r="X14" s="3">
        <f t="shared" si="2"/>
        <v>19600</v>
      </c>
      <c r="Y14" s="3"/>
      <c r="Z14" s="22">
        <f t="shared" si="3"/>
        <v>0</v>
      </c>
    </row>
    <row r="15" spans="1:26" s="24" customFormat="1" hidden="1" outlineLevel="1" x14ac:dyDescent="0.3">
      <c r="A15" s="50"/>
      <c r="B15" s="12" t="str">
        <f>CONCATENATE("          ", "4153", " - ", "NON-TAXABLE SALES-FOOD")</f>
        <v xml:space="preserve">          4153 - NON-TAXABLE SALES-FOOD</v>
      </c>
      <c r="C15" s="12"/>
      <c r="D15" s="3">
        <f>--3280.71</f>
        <v>3280.71</v>
      </c>
      <c r="E15" s="3"/>
      <c r="F15" s="22"/>
      <c r="G15" s="3"/>
      <c r="H15" s="3">
        <f t="shared" si="4"/>
        <v>0</v>
      </c>
      <c r="I15" s="3"/>
      <c r="J15" s="22"/>
      <c r="K15" s="3"/>
      <c r="L15" s="3">
        <f t="shared" si="0"/>
        <v>3280.71</v>
      </c>
      <c r="M15" s="3"/>
      <c r="N15" s="22">
        <f t="shared" si="1"/>
        <v>0</v>
      </c>
      <c r="O15" s="12"/>
      <c r="P15" s="3">
        <f>--3280.71</f>
        <v>3280.71</v>
      </c>
      <c r="Q15" s="3"/>
      <c r="R15" s="22"/>
      <c r="S15" s="3"/>
      <c r="T15" s="3">
        <f t="shared" si="5"/>
        <v>0</v>
      </c>
      <c r="U15" s="3"/>
      <c r="V15" s="22"/>
      <c r="W15" s="3"/>
      <c r="X15" s="3">
        <f t="shared" si="2"/>
        <v>3280.71</v>
      </c>
      <c r="Y15" s="3"/>
      <c r="Z15" s="22">
        <f t="shared" si="3"/>
        <v>0</v>
      </c>
    </row>
    <row r="16" spans="1:26" x14ac:dyDescent="0.3">
      <c r="A16" s="9"/>
      <c r="B16" s="10"/>
      <c r="C16" s="9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collapsed="1" x14ac:dyDescent="0.3">
      <c r="A17" s="10"/>
      <c r="B17" s="25" t="s">
        <v>256</v>
      </c>
      <c r="C17" s="10"/>
      <c r="D17" s="4">
        <f>SUM(OSRRefD16x_0)</f>
        <v>17128.84</v>
      </c>
      <c r="E17" s="4"/>
      <c r="F17" s="11">
        <f t="shared" ref="F17:F19" si="6">IF(D$12=0,0,D17/D$12)</f>
        <v>0.74514200201415126</v>
      </c>
      <c r="G17" s="4"/>
      <c r="H17" s="4">
        <f>SUM(OSRRefH16x_0)</f>
        <v>0</v>
      </c>
      <c r="I17" s="4"/>
      <c r="J17" s="11">
        <f t="shared" ref="J17:J19" si="7">IF(H$12=0,0,H17/H$12)</f>
        <v>0</v>
      </c>
      <c r="K17" s="4"/>
      <c r="L17" s="4">
        <f t="shared" ref="L17:L19" si="8">+D17-H17</f>
        <v>17128.84</v>
      </c>
      <c r="M17" s="4"/>
      <c r="N17" s="11">
        <f t="shared" ref="N17:N19" si="9">IF(H17=0,0,L17/H17)</f>
        <v>0</v>
      </c>
      <c r="O17" s="10"/>
      <c r="P17" s="4">
        <f>SUM(OSRRefP16x_0)</f>
        <v>17128.84</v>
      </c>
      <c r="Q17" s="4"/>
      <c r="R17" s="11">
        <f t="shared" ref="R17:R19" si="10">IF(P$12=0,0,P17/P$12)</f>
        <v>0.74514200201415126</v>
      </c>
      <c r="S17" s="4"/>
      <c r="T17" s="4">
        <f>SUM(OSRRefT16x_0)</f>
        <v>0</v>
      </c>
      <c r="U17" s="4"/>
      <c r="V17" s="11">
        <f t="shared" ref="V17:V19" si="11">IF(T$12=0,0,T17/T$12)</f>
        <v>0</v>
      </c>
      <c r="W17" s="4"/>
      <c r="X17" s="4">
        <f t="shared" ref="X17:X19" si="12">+P17-T17</f>
        <v>17128.84</v>
      </c>
      <c r="Y17" s="4"/>
      <c r="Z17" s="11">
        <f t="shared" ref="Z17:Z19" si="13">IF(T17=0,0,X17/T17)</f>
        <v>0</v>
      </c>
    </row>
    <row r="18" spans="1:26" s="24" customFormat="1" hidden="1" outlineLevel="1" x14ac:dyDescent="0.3">
      <c r="A18" s="50"/>
      <c r="B18" s="12" t="str">
        <f>CONCATENATE("          ", "5053", " - ", "PURCHASES @ COST-FOOD")</f>
        <v xml:space="preserve">          5053 - PURCHASES @ COST-FOOD</v>
      </c>
      <c r="C18" s="12"/>
      <c r="D18" s="3">
        <v>17968.84</v>
      </c>
      <c r="E18" s="3"/>
      <c r="F18" s="22">
        <f t="shared" si="6"/>
        <v>0.7816838391550136</v>
      </c>
      <c r="G18" s="3"/>
      <c r="H18" s="3"/>
      <c r="I18" s="3"/>
      <c r="J18" s="22">
        <f t="shared" si="7"/>
        <v>0</v>
      </c>
      <c r="K18" s="3"/>
      <c r="L18" s="3">
        <f t="shared" si="8"/>
        <v>17968.84</v>
      </c>
      <c r="M18" s="3"/>
      <c r="N18" s="22">
        <f t="shared" si="9"/>
        <v>0</v>
      </c>
      <c r="O18" s="12"/>
      <c r="P18" s="3">
        <v>17968.84</v>
      </c>
      <c r="Q18" s="3"/>
      <c r="R18" s="22">
        <f t="shared" si="10"/>
        <v>0.7816838391550136</v>
      </c>
      <c r="S18" s="3"/>
      <c r="T18" s="3"/>
      <c r="U18" s="3"/>
      <c r="V18" s="22">
        <f t="shared" si="11"/>
        <v>0</v>
      </c>
      <c r="W18" s="3"/>
      <c r="X18" s="3">
        <f t="shared" si="12"/>
        <v>17968.84</v>
      </c>
      <c r="Y18" s="3"/>
      <c r="Z18" s="22">
        <f t="shared" si="13"/>
        <v>0</v>
      </c>
    </row>
    <row r="19" spans="1:26" s="24" customFormat="1" hidden="1" outlineLevel="1" x14ac:dyDescent="0.3">
      <c r="A19" s="50"/>
      <c r="B19" s="12" t="str">
        <f>CONCATENATE("          ", "5059", " - ", "PURCHASES @ COST-FOOD")</f>
        <v xml:space="preserve">          5059 - PURCHASES @ COST-FOOD</v>
      </c>
      <c r="C19" s="12"/>
      <c r="D19" s="3">
        <v>-840</v>
      </c>
      <c r="E19" s="3"/>
      <c r="F19" s="22">
        <f t="shared" si="6"/>
        <v>-3.654183714086226E-2</v>
      </c>
      <c r="G19" s="3"/>
      <c r="H19" s="3"/>
      <c r="I19" s="3"/>
      <c r="J19" s="22">
        <f t="shared" si="7"/>
        <v>0</v>
      </c>
      <c r="K19" s="3"/>
      <c r="L19" s="3">
        <f t="shared" si="8"/>
        <v>-840</v>
      </c>
      <c r="M19" s="3"/>
      <c r="N19" s="22">
        <f t="shared" si="9"/>
        <v>0</v>
      </c>
      <c r="O19" s="12"/>
      <c r="P19" s="3">
        <v>-840</v>
      </c>
      <c r="Q19" s="3"/>
      <c r="R19" s="22">
        <f t="shared" si="10"/>
        <v>-3.654183714086226E-2</v>
      </c>
      <c r="S19" s="3"/>
      <c r="T19" s="3"/>
      <c r="U19" s="3"/>
      <c r="V19" s="22">
        <f t="shared" si="11"/>
        <v>0</v>
      </c>
      <c r="W19" s="3"/>
      <c r="X19" s="3">
        <f t="shared" si="12"/>
        <v>-840</v>
      </c>
      <c r="Y19" s="3"/>
      <c r="Z19" s="22">
        <f t="shared" si="13"/>
        <v>0</v>
      </c>
    </row>
    <row r="20" spans="1:26" x14ac:dyDescent="0.3">
      <c r="A20" s="9"/>
      <c r="B20" s="10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10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23" customFormat="1" x14ac:dyDescent="0.3">
      <c r="A21" s="10"/>
      <c r="B21" s="26" t="s">
        <v>107</v>
      </c>
      <c r="C21" s="26"/>
      <c r="D21" s="20">
        <f>D12-D17</f>
        <v>5858.5099999999984</v>
      </c>
      <c r="E21" s="13"/>
      <c r="F21" s="21">
        <f>IF(D$12=0,0,D21/D$12)</f>
        <v>0.25485799798584868</v>
      </c>
      <c r="G21" s="13"/>
      <c r="H21" s="20">
        <f>H12-H17</f>
        <v>0</v>
      </c>
      <c r="I21" s="13"/>
      <c r="J21" s="21">
        <f>IF(H$12=0,0,H21/H$12)</f>
        <v>0</v>
      </c>
      <c r="K21" s="16"/>
      <c r="L21" s="20">
        <f>+D21-H21</f>
        <v>5858.5099999999984</v>
      </c>
      <c r="M21" s="16"/>
      <c r="N21" s="21">
        <f>IF(H21=0,0,L21/H21)</f>
        <v>0</v>
      </c>
      <c r="O21" s="25"/>
      <c r="P21" s="20">
        <f>P12-P17</f>
        <v>5858.5099999999984</v>
      </c>
      <c r="Q21" s="13"/>
      <c r="R21" s="21">
        <f>IF(P$12=0,0,P21/P$12)</f>
        <v>0.25485799798584868</v>
      </c>
      <c r="S21" s="13"/>
      <c r="T21" s="20">
        <f>T12-T17</f>
        <v>0</v>
      </c>
      <c r="U21" s="13"/>
      <c r="V21" s="21">
        <f>IF(T$12=0,0,T21/T$12)</f>
        <v>0</v>
      </c>
      <c r="W21" s="16"/>
      <c r="X21" s="20">
        <f>+P21-T21</f>
        <v>5858.5099999999984</v>
      </c>
      <c r="Y21" s="16"/>
      <c r="Z21" s="21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294</v>
      </c>
      <c r="C23" s="10"/>
      <c r="D23" s="19">
        <f>SUM(OSRRefD22x_0)</f>
        <v>91690.75</v>
      </c>
      <c r="E23" s="19"/>
      <c r="F23" s="35">
        <f t="shared" ref="F23:F33" si="14">IF(D$12=0,0,D23/D$12)</f>
        <v>3.98874815931371</v>
      </c>
      <c r="G23" s="19"/>
      <c r="H23" s="19">
        <f>SUM(OSRRefH22x_0)</f>
        <v>64552.840000000004</v>
      </c>
      <c r="I23" s="19"/>
      <c r="J23" s="35">
        <f t="shared" ref="J23:J33" si="15">IF(H$12=0,0,H23/H$12)</f>
        <v>0</v>
      </c>
      <c r="K23" s="4"/>
      <c r="L23" s="19">
        <f t="shared" ref="L23:L33" si="16">+D23-H23</f>
        <v>27137.909999999996</v>
      </c>
      <c r="M23" s="4"/>
      <c r="N23" s="35">
        <f t="shared" ref="N23:N33" si="17">IF(H23=0,0,L23/H23)</f>
        <v>0.42039838990817435</v>
      </c>
      <c r="O23" s="10"/>
      <c r="P23" s="19">
        <f>SUM(OSRRefP22x_0)</f>
        <v>91690.75</v>
      </c>
      <c r="Q23" s="19"/>
      <c r="R23" s="35">
        <f t="shared" ref="R23:R33" si="18">IF(P$12=0,0,P23/P$12)</f>
        <v>3.98874815931371</v>
      </c>
      <c r="S23" s="19"/>
      <c r="T23" s="19">
        <f>SUM(OSRRefT22x_0)</f>
        <v>64552.840000000004</v>
      </c>
      <c r="U23" s="19"/>
      <c r="V23" s="35">
        <f t="shared" ref="V23:V33" si="19">IF(T$12=0,0,T23/T$12)</f>
        <v>0</v>
      </c>
      <c r="W23" s="4"/>
      <c r="X23" s="19">
        <f t="shared" ref="X23:X33" si="20">+P23-T23</f>
        <v>27137.909999999996</v>
      </c>
      <c r="Y23" s="4"/>
      <c r="Z23" s="35">
        <f t="shared" ref="Z23:Z33" si="21">IF(T23=0,0,X23/T23)</f>
        <v>0.42039838990817435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26752.260000000002</v>
      </c>
      <c r="E24" s="1"/>
      <c r="F24" s="5">
        <f t="shared" si="14"/>
        <v>1.163781819130957</v>
      </c>
      <c r="G24" s="1"/>
      <c r="H24" s="1">
        <f>SUM(OSRRefH22_0x_0)</f>
        <v>28409.810000000005</v>
      </c>
      <c r="I24" s="1"/>
      <c r="J24" s="5">
        <f t="shared" si="15"/>
        <v>0</v>
      </c>
      <c r="K24" s="1"/>
      <c r="L24" s="1">
        <f t="shared" si="16"/>
        <v>-1657.5500000000029</v>
      </c>
      <c r="M24" s="1"/>
      <c r="N24" s="5">
        <f t="shared" si="17"/>
        <v>-5.8344283189504E-2</v>
      </c>
      <c r="O24" s="14"/>
      <c r="P24" s="1">
        <f>SUM(OSRRefP22_0x_0)</f>
        <v>26752.260000000002</v>
      </c>
      <c r="Q24" s="1"/>
      <c r="R24" s="5">
        <f t="shared" si="18"/>
        <v>1.163781819130957</v>
      </c>
      <c r="S24" s="1"/>
      <c r="T24" s="1">
        <f>SUM(OSRRefT22_0x_0)</f>
        <v>28409.810000000005</v>
      </c>
      <c r="U24" s="1"/>
      <c r="V24" s="5">
        <f t="shared" si="19"/>
        <v>0</v>
      </c>
      <c r="W24" s="1"/>
      <c r="X24" s="1">
        <f t="shared" si="20"/>
        <v>-1657.5500000000029</v>
      </c>
      <c r="Y24" s="1"/>
      <c r="Z24" s="5">
        <f t="shared" si="21"/>
        <v>-5.8344283189504E-2</v>
      </c>
    </row>
    <row r="25" spans="1:26" s="24" customFormat="1" hidden="1" outlineLevel="2" x14ac:dyDescent="0.3">
      <c r="A25" s="27"/>
      <c r="B25" s="12" t="str">
        <f>CONCATENATE("          ", "6111", " - ", "F.I.C.A.")</f>
        <v xml:space="preserve">          6111 - F.I.C.A.</v>
      </c>
      <c r="C25" s="12"/>
      <c r="D25" s="8">
        <v>3197.69</v>
      </c>
      <c r="E25" s="3"/>
      <c r="F25" s="7">
        <f t="shared" si="14"/>
        <v>0.13910650857971885</v>
      </c>
      <c r="G25" s="3"/>
      <c r="H25" s="8">
        <v>2493.23</v>
      </c>
      <c r="I25" s="3"/>
      <c r="J25" s="7">
        <f t="shared" si="15"/>
        <v>0</v>
      </c>
      <c r="K25" s="3"/>
      <c r="L25" s="8">
        <f t="shared" si="16"/>
        <v>704.46</v>
      </c>
      <c r="M25" s="3"/>
      <c r="N25" s="7">
        <f t="shared" si="17"/>
        <v>0.28254914307945916</v>
      </c>
      <c r="O25" s="12"/>
      <c r="P25" s="8">
        <v>3197.69</v>
      </c>
      <c r="Q25" s="3"/>
      <c r="R25" s="7">
        <f t="shared" si="18"/>
        <v>0.13910650857971885</v>
      </c>
      <c r="S25" s="3"/>
      <c r="T25" s="8">
        <v>2493.23</v>
      </c>
      <c r="U25" s="3"/>
      <c r="V25" s="7">
        <f t="shared" si="19"/>
        <v>0</v>
      </c>
      <c r="W25" s="3"/>
      <c r="X25" s="8">
        <f t="shared" si="20"/>
        <v>704.46</v>
      </c>
      <c r="Y25" s="3"/>
      <c r="Z25" s="7">
        <f t="shared" si="21"/>
        <v>0.28254914307945916</v>
      </c>
    </row>
    <row r="26" spans="1:26" s="24" customFormat="1" hidden="1" outlineLevel="2" x14ac:dyDescent="0.3">
      <c r="A26" s="27"/>
      <c r="B26" s="12" t="str">
        <f>CONCATENATE("          ", "6112", " - ", "COMPENSATION INSURANCE")</f>
        <v xml:space="preserve">          6112 - COMPENSATION INSURANCE</v>
      </c>
      <c r="C26" s="12"/>
      <c r="D26" s="8">
        <v>1499.97</v>
      </c>
      <c r="E26" s="3"/>
      <c r="F26" s="7">
        <f t="shared" si="14"/>
        <v>6.525197554307044E-2</v>
      </c>
      <c r="G26" s="3"/>
      <c r="H26" s="8">
        <v>1396.92</v>
      </c>
      <c r="I26" s="3"/>
      <c r="J26" s="7">
        <f t="shared" si="15"/>
        <v>0</v>
      </c>
      <c r="K26" s="3"/>
      <c r="L26" s="8">
        <f t="shared" si="16"/>
        <v>103.04999999999995</v>
      </c>
      <c r="M26" s="3"/>
      <c r="N26" s="7">
        <f t="shared" si="17"/>
        <v>7.3769435615496912E-2</v>
      </c>
      <c r="O26" s="12"/>
      <c r="P26" s="8">
        <v>1499.97</v>
      </c>
      <c r="Q26" s="3"/>
      <c r="R26" s="7">
        <f t="shared" si="18"/>
        <v>6.525197554307044E-2</v>
      </c>
      <c r="S26" s="3"/>
      <c r="T26" s="8">
        <v>1396.92</v>
      </c>
      <c r="U26" s="3"/>
      <c r="V26" s="7">
        <f t="shared" si="19"/>
        <v>0</v>
      </c>
      <c r="W26" s="3"/>
      <c r="X26" s="8">
        <f t="shared" si="20"/>
        <v>103.04999999999995</v>
      </c>
      <c r="Y26" s="3"/>
      <c r="Z26" s="7">
        <f t="shared" si="21"/>
        <v>7.3769435615496912E-2</v>
      </c>
    </row>
    <row r="27" spans="1:26" s="24" customFormat="1" hidden="1" outlineLevel="2" x14ac:dyDescent="0.3">
      <c r="A27" s="27"/>
      <c r="B27" s="12" t="str">
        <f>CONCATENATE("          ", "6113", " - ", "GROUP INSURANCE")</f>
        <v xml:space="preserve">          6113 - GROUP INSURANCE</v>
      </c>
      <c r="C27" s="12"/>
      <c r="D27" s="8">
        <v>15037.24</v>
      </c>
      <c r="E27" s="3"/>
      <c r="F27" s="7">
        <f t="shared" si="14"/>
        <v>0.65415282753340431</v>
      </c>
      <c r="G27" s="3"/>
      <c r="H27" s="8">
        <v>16509.650000000001</v>
      </c>
      <c r="I27" s="3"/>
      <c r="J27" s="7">
        <f t="shared" si="15"/>
        <v>0</v>
      </c>
      <c r="K27" s="3"/>
      <c r="L27" s="8">
        <f t="shared" si="16"/>
        <v>-1472.4100000000017</v>
      </c>
      <c r="M27" s="3"/>
      <c r="N27" s="7">
        <f t="shared" si="17"/>
        <v>-8.9184810095913697E-2</v>
      </c>
      <c r="O27" s="12"/>
      <c r="P27" s="8">
        <v>15037.24</v>
      </c>
      <c r="Q27" s="3"/>
      <c r="R27" s="7">
        <f t="shared" si="18"/>
        <v>0.65415282753340431</v>
      </c>
      <c r="S27" s="3"/>
      <c r="T27" s="8">
        <v>16509.650000000001</v>
      </c>
      <c r="U27" s="3"/>
      <c r="V27" s="7">
        <f t="shared" si="19"/>
        <v>0</v>
      </c>
      <c r="W27" s="3"/>
      <c r="X27" s="8">
        <f t="shared" si="20"/>
        <v>-1472.4100000000017</v>
      </c>
      <c r="Y27" s="3"/>
      <c r="Z27" s="7">
        <f t="shared" si="21"/>
        <v>-8.9184810095913697E-2</v>
      </c>
    </row>
    <row r="28" spans="1:26" s="24" customFormat="1" hidden="1" outlineLevel="2" x14ac:dyDescent="0.3">
      <c r="A28" s="27"/>
      <c r="B28" s="12" t="str">
        <f>CONCATENATE("          ", "6114", " - ", "STATE UNEMPLOYMENT INSURANCE")</f>
        <v xml:space="preserve">          6114 - STATE UNEMPLOYMENT INSURANCE</v>
      </c>
      <c r="C28" s="12"/>
      <c r="D28" s="8">
        <v>108.33</v>
      </c>
      <c r="E28" s="3"/>
      <c r="F28" s="7">
        <f t="shared" si="14"/>
        <v>4.7125919255590577E-3</v>
      </c>
      <c r="G28" s="3"/>
      <c r="H28" s="8">
        <v>156.82</v>
      </c>
      <c r="I28" s="3"/>
      <c r="J28" s="7">
        <f t="shared" si="15"/>
        <v>0</v>
      </c>
      <c r="K28" s="3"/>
      <c r="L28" s="8">
        <f t="shared" si="16"/>
        <v>-48.489999999999995</v>
      </c>
      <c r="M28" s="3"/>
      <c r="N28" s="7">
        <f t="shared" si="17"/>
        <v>-0.30920800918250219</v>
      </c>
      <c r="O28" s="12"/>
      <c r="P28" s="8">
        <v>108.33</v>
      </c>
      <c r="Q28" s="3"/>
      <c r="R28" s="7">
        <f t="shared" si="18"/>
        <v>4.7125919255590577E-3</v>
      </c>
      <c r="S28" s="3"/>
      <c r="T28" s="8">
        <v>156.82</v>
      </c>
      <c r="U28" s="3"/>
      <c r="V28" s="7">
        <f t="shared" si="19"/>
        <v>0</v>
      </c>
      <c r="W28" s="3"/>
      <c r="X28" s="8">
        <f t="shared" si="20"/>
        <v>-48.489999999999995</v>
      </c>
      <c r="Y28" s="3"/>
      <c r="Z28" s="7">
        <f t="shared" si="21"/>
        <v>-0.30920800918250219</v>
      </c>
    </row>
    <row r="29" spans="1:26" s="24" customFormat="1" hidden="1" outlineLevel="2" x14ac:dyDescent="0.3">
      <c r="A29" s="27"/>
      <c r="B29" s="12" t="str">
        <f>CONCATENATE("          ", "6115", " - ", "P.E.R.S.")</f>
        <v xml:space="preserve">          6115 - P.E.R.S.</v>
      </c>
      <c r="C29" s="12"/>
      <c r="D29" s="8">
        <v>1434.5</v>
      </c>
      <c r="E29" s="3"/>
      <c r="F29" s="7">
        <f t="shared" si="14"/>
        <v>6.2403887355436796E-2</v>
      </c>
      <c r="G29" s="3"/>
      <c r="H29" s="8">
        <v>2186.25</v>
      </c>
      <c r="I29" s="3"/>
      <c r="J29" s="7">
        <f t="shared" si="15"/>
        <v>0</v>
      </c>
      <c r="K29" s="3"/>
      <c r="L29" s="8">
        <f t="shared" si="16"/>
        <v>-751.75</v>
      </c>
      <c r="M29" s="3"/>
      <c r="N29" s="7">
        <f t="shared" si="17"/>
        <v>-0.34385363064608349</v>
      </c>
      <c r="O29" s="12"/>
      <c r="P29" s="8">
        <v>1434.5</v>
      </c>
      <c r="Q29" s="3"/>
      <c r="R29" s="7">
        <f t="shared" si="18"/>
        <v>6.2403887355436796E-2</v>
      </c>
      <c r="S29" s="3"/>
      <c r="T29" s="8">
        <v>2186.25</v>
      </c>
      <c r="U29" s="3"/>
      <c r="V29" s="7">
        <f t="shared" si="19"/>
        <v>0</v>
      </c>
      <c r="W29" s="3"/>
      <c r="X29" s="8">
        <f t="shared" si="20"/>
        <v>-751.75</v>
      </c>
      <c r="Y29" s="3"/>
      <c r="Z29" s="7">
        <f t="shared" si="21"/>
        <v>-0.34385363064608349</v>
      </c>
    </row>
    <row r="30" spans="1:26" s="24" customFormat="1" hidden="1" outlineLevel="2" x14ac:dyDescent="0.3">
      <c r="A30" s="27"/>
      <c r="B30" s="12" t="str">
        <f>CONCATENATE("          ", "6117", " - ", "RETIREMENT STAFF HOURLY")</f>
        <v xml:space="preserve">          6117 - RETIREMENT STAFF HOURLY</v>
      </c>
      <c r="C30" s="12"/>
      <c r="D30" s="8">
        <v>423.03</v>
      </c>
      <c r="E30" s="3"/>
      <c r="F30" s="7">
        <f t="shared" si="14"/>
        <v>1.8402730197260669E-2</v>
      </c>
      <c r="G30" s="3"/>
      <c r="H30" s="8">
        <v>752.36</v>
      </c>
      <c r="I30" s="3"/>
      <c r="J30" s="7">
        <f t="shared" si="15"/>
        <v>0</v>
      </c>
      <c r="K30" s="3"/>
      <c r="L30" s="8">
        <f t="shared" si="16"/>
        <v>-329.33000000000004</v>
      </c>
      <c r="M30" s="3"/>
      <c r="N30" s="7">
        <f t="shared" si="17"/>
        <v>-0.43772927853687071</v>
      </c>
      <c r="O30" s="12"/>
      <c r="P30" s="8">
        <v>423.03</v>
      </c>
      <c r="Q30" s="3"/>
      <c r="R30" s="7">
        <f t="shared" si="18"/>
        <v>1.8402730197260669E-2</v>
      </c>
      <c r="S30" s="3"/>
      <c r="T30" s="8">
        <v>752.36</v>
      </c>
      <c r="U30" s="3"/>
      <c r="V30" s="7">
        <f t="shared" si="19"/>
        <v>0</v>
      </c>
      <c r="W30" s="3"/>
      <c r="X30" s="8">
        <f t="shared" si="20"/>
        <v>-329.33000000000004</v>
      </c>
      <c r="Y30" s="3"/>
      <c r="Z30" s="7">
        <f t="shared" si="21"/>
        <v>-0.43772927853687071</v>
      </c>
    </row>
    <row r="31" spans="1:26" s="24" customFormat="1" hidden="1" outlineLevel="2" x14ac:dyDescent="0.3">
      <c r="A31" s="27"/>
      <c r="B31" s="12" t="str">
        <f>CONCATENATE("          ", "6118", " - ", "VACATION")</f>
        <v xml:space="preserve">          6118 - VACATION</v>
      </c>
      <c r="C31" s="12"/>
      <c r="D31" s="8">
        <v>2494.04</v>
      </c>
      <c r="E31" s="3"/>
      <c r="F31" s="7">
        <f t="shared" si="14"/>
        <v>0.10849619464618585</v>
      </c>
      <c r="G31" s="3"/>
      <c r="H31" s="8">
        <v>2366.1799999999998</v>
      </c>
      <c r="I31" s="3"/>
      <c r="J31" s="7">
        <f t="shared" si="15"/>
        <v>0</v>
      </c>
      <c r="K31" s="3"/>
      <c r="L31" s="8">
        <f t="shared" si="16"/>
        <v>127.86000000000013</v>
      </c>
      <c r="M31" s="3"/>
      <c r="N31" s="7">
        <f t="shared" si="17"/>
        <v>5.4036463836225533E-2</v>
      </c>
      <c r="O31" s="12"/>
      <c r="P31" s="8">
        <v>2494.04</v>
      </c>
      <c r="Q31" s="3"/>
      <c r="R31" s="7">
        <f t="shared" si="18"/>
        <v>0.10849619464618585</v>
      </c>
      <c r="S31" s="3"/>
      <c r="T31" s="8">
        <v>2366.1799999999998</v>
      </c>
      <c r="U31" s="3"/>
      <c r="V31" s="7">
        <f t="shared" si="19"/>
        <v>0</v>
      </c>
      <c r="W31" s="3"/>
      <c r="X31" s="8">
        <f t="shared" si="20"/>
        <v>127.86000000000013</v>
      </c>
      <c r="Y31" s="3"/>
      <c r="Z31" s="7">
        <f t="shared" si="21"/>
        <v>5.4036463836225533E-2</v>
      </c>
    </row>
    <row r="32" spans="1:26" s="24" customFormat="1" hidden="1" outlineLevel="2" x14ac:dyDescent="0.3">
      <c r="A32" s="27"/>
      <c r="B32" s="12" t="str">
        <f>CONCATENATE("          ", "6119", " - ", "SICK LEAVE")</f>
        <v xml:space="preserve">          6119 - SICK LEAVE</v>
      </c>
      <c r="C32" s="12"/>
      <c r="D32" s="8">
        <v>1724</v>
      </c>
      <c r="E32" s="3"/>
      <c r="F32" s="7">
        <f t="shared" si="14"/>
        <v>7.4997770512912537E-2</v>
      </c>
      <c r="G32" s="3"/>
      <c r="H32" s="8">
        <v>1504</v>
      </c>
      <c r="I32" s="3"/>
      <c r="J32" s="7">
        <f t="shared" si="15"/>
        <v>0</v>
      </c>
      <c r="K32" s="3"/>
      <c r="L32" s="8">
        <f t="shared" si="16"/>
        <v>220</v>
      </c>
      <c r="M32" s="3"/>
      <c r="N32" s="7">
        <f t="shared" si="17"/>
        <v>0.14627659574468085</v>
      </c>
      <c r="O32" s="12"/>
      <c r="P32" s="8">
        <v>1724</v>
      </c>
      <c r="Q32" s="3"/>
      <c r="R32" s="7">
        <f t="shared" si="18"/>
        <v>7.4997770512912537E-2</v>
      </c>
      <c r="S32" s="3"/>
      <c r="T32" s="8">
        <v>1504</v>
      </c>
      <c r="U32" s="3"/>
      <c r="V32" s="7">
        <f t="shared" si="19"/>
        <v>0</v>
      </c>
      <c r="W32" s="3"/>
      <c r="X32" s="8">
        <f t="shared" si="20"/>
        <v>220</v>
      </c>
      <c r="Y32" s="3"/>
      <c r="Z32" s="7">
        <f t="shared" si="21"/>
        <v>0.14627659574468085</v>
      </c>
    </row>
    <row r="33" spans="1:26" s="24" customFormat="1" hidden="1" outlineLevel="2" x14ac:dyDescent="0.3">
      <c r="A33" s="27"/>
      <c r="B33" s="12" t="str">
        <f>CONCATENATE("          ", "6156", " - ", "EMPLOYEE MEALS")</f>
        <v xml:space="preserve">          6156 - EMPLOYEE MEALS</v>
      </c>
      <c r="C33" s="12"/>
      <c r="D33" s="8">
        <v>833.46</v>
      </c>
      <c r="E33" s="3"/>
      <c r="F33" s="7">
        <f t="shared" si="14"/>
        <v>3.6257332837408403E-2</v>
      </c>
      <c r="G33" s="3"/>
      <c r="H33" s="8">
        <v>1044.4000000000001</v>
      </c>
      <c r="I33" s="3"/>
      <c r="J33" s="7">
        <f t="shared" si="15"/>
        <v>0</v>
      </c>
      <c r="K33" s="3"/>
      <c r="L33" s="8">
        <f t="shared" si="16"/>
        <v>-210.94000000000005</v>
      </c>
      <c r="M33" s="3"/>
      <c r="N33" s="7">
        <f t="shared" si="17"/>
        <v>-0.20197242435848337</v>
      </c>
      <c r="O33" s="12"/>
      <c r="P33" s="8">
        <v>833.46</v>
      </c>
      <c r="Q33" s="3"/>
      <c r="R33" s="7">
        <f t="shared" si="18"/>
        <v>3.6257332837408403E-2</v>
      </c>
      <c r="S33" s="3"/>
      <c r="T33" s="8">
        <v>1044.4000000000001</v>
      </c>
      <c r="U33" s="3"/>
      <c r="V33" s="7">
        <f t="shared" si="19"/>
        <v>0</v>
      </c>
      <c r="W33" s="3"/>
      <c r="X33" s="8">
        <f t="shared" si="20"/>
        <v>-210.94000000000005</v>
      </c>
      <c r="Y33" s="3"/>
      <c r="Z33" s="7">
        <f t="shared" si="21"/>
        <v>-0.20197242435848337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50603.56</v>
      </c>
      <c r="E34" s="1"/>
      <c r="F34" s="5">
        <f t="shared" ref="F34:F38" si="22">IF(D$12=0,0,D34/D$12)</f>
        <v>2.2013655336522042</v>
      </c>
      <c r="G34" s="1"/>
      <c r="H34" s="1">
        <f>SUM(OSRRefH22_1x_0)</f>
        <v>33140.61</v>
      </c>
      <c r="I34" s="1"/>
      <c r="J34" s="5">
        <f t="shared" ref="J34:J38" si="23">IF(H$12=0,0,H34/H$12)</f>
        <v>0</v>
      </c>
      <c r="K34" s="1"/>
      <c r="L34" s="1">
        <f t="shared" ref="L34:L38" si="24">+D34-H34</f>
        <v>17462.949999999997</v>
      </c>
      <c r="M34" s="1"/>
      <c r="N34" s="5">
        <f t="shared" ref="N34:N38" si="25">IF(H34=0,0,L34/H34)</f>
        <v>0.52693508055524618</v>
      </c>
      <c r="O34" s="14"/>
      <c r="P34" s="1">
        <f>SUM(OSRRefP22_1x_0)</f>
        <v>50603.56</v>
      </c>
      <c r="Q34" s="1"/>
      <c r="R34" s="5">
        <f t="shared" ref="R34:R38" si="26">IF(P$12=0,0,P34/P$12)</f>
        <v>2.2013655336522042</v>
      </c>
      <c r="S34" s="1"/>
      <c r="T34" s="1">
        <f>SUM(OSRRefT22_1x_0)</f>
        <v>33140.61</v>
      </c>
      <c r="U34" s="1"/>
      <c r="V34" s="5">
        <f t="shared" ref="V34:V38" si="27">IF(T$12=0,0,T34/T$12)</f>
        <v>0</v>
      </c>
      <c r="W34" s="1"/>
      <c r="X34" s="1">
        <f t="shared" ref="X34:X38" si="28">+P34-T34</f>
        <v>17462.949999999997</v>
      </c>
      <c r="Y34" s="1"/>
      <c r="Z34" s="5">
        <f t="shared" ref="Z34:Z38" si="29">IF(T34=0,0,X34/T34)</f>
        <v>0.52693508055524618</v>
      </c>
    </row>
    <row r="35" spans="1:26" s="24" customFormat="1" hidden="1" outlineLevel="2" x14ac:dyDescent="0.3">
      <c r="A35" s="27"/>
      <c r="B35" s="12" t="str">
        <f>CONCATENATE("          ", "6002", " - ", "STAFF SALARIES")</f>
        <v xml:space="preserve">          6002 - STAFF SALARIES</v>
      </c>
      <c r="C35" s="12"/>
      <c r="D35" s="8">
        <v>19293.919999999998</v>
      </c>
      <c r="E35" s="3"/>
      <c r="F35" s="7">
        <f t="shared" si="22"/>
        <v>0.8393277172009822</v>
      </c>
      <c r="G35" s="3"/>
      <c r="H35" s="8">
        <v>18321.599999999999</v>
      </c>
      <c r="I35" s="3"/>
      <c r="J35" s="7">
        <f t="shared" si="23"/>
        <v>0</v>
      </c>
      <c r="K35" s="3"/>
      <c r="L35" s="8">
        <f t="shared" si="24"/>
        <v>972.31999999999971</v>
      </c>
      <c r="M35" s="3"/>
      <c r="N35" s="7">
        <f t="shared" si="25"/>
        <v>5.3069600908217614E-2</v>
      </c>
      <c r="O35" s="12"/>
      <c r="P35" s="8">
        <v>19293.919999999998</v>
      </c>
      <c r="Q35" s="3"/>
      <c r="R35" s="7">
        <f t="shared" si="26"/>
        <v>0.8393277172009822</v>
      </c>
      <c r="S35" s="3"/>
      <c r="T35" s="8">
        <v>18321.599999999999</v>
      </c>
      <c r="U35" s="3"/>
      <c r="V35" s="7">
        <f t="shared" si="27"/>
        <v>0</v>
      </c>
      <c r="W35" s="3"/>
      <c r="X35" s="8">
        <f t="shared" si="28"/>
        <v>972.31999999999971</v>
      </c>
      <c r="Y35" s="3"/>
      <c r="Z35" s="7">
        <f t="shared" si="29"/>
        <v>5.3069600908217614E-2</v>
      </c>
    </row>
    <row r="36" spans="1:26" s="24" customFormat="1" hidden="1" outlineLevel="2" x14ac:dyDescent="0.3">
      <c r="A36" s="27"/>
      <c r="B36" s="12" t="str">
        <f>CONCATENATE("          ", "6004", " - ", "STAFF HOURLY")</f>
        <v xml:space="preserve">          6004 - STAFF HOURLY</v>
      </c>
      <c r="C36" s="12"/>
      <c r="D36" s="8">
        <v>19405.97</v>
      </c>
      <c r="E36" s="3"/>
      <c r="F36" s="7">
        <f t="shared" si="22"/>
        <v>0.84420213726245097</v>
      </c>
      <c r="G36" s="3"/>
      <c r="H36" s="8">
        <v>11965.01</v>
      </c>
      <c r="I36" s="3"/>
      <c r="J36" s="7">
        <f t="shared" si="23"/>
        <v>0</v>
      </c>
      <c r="K36" s="3"/>
      <c r="L36" s="8">
        <f t="shared" si="24"/>
        <v>7440.9600000000009</v>
      </c>
      <c r="M36" s="3"/>
      <c r="N36" s="7">
        <f t="shared" si="25"/>
        <v>0.62189333732274366</v>
      </c>
      <c r="O36" s="12"/>
      <c r="P36" s="8">
        <v>19405.97</v>
      </c>
      <c r="Q36" s="3"/>
      <c r="R36" s="7">
        <f t="shared" si="26"/>
        <v>0.84420213726245097</v>
      </c>
      <c r="S36" s="3"/>
      <c r="T36" s="8">
        <v>11965.01</v>
      </c>
      <c r="U36" s="3"/>
      <c r="V36" s="7">
        <f t="shared" si="27"/>
        <v>0</v>
      </c>
      <c r="W36" s="3"/>
      <c r="X36" s="8">
        <f t="shared" si="28"/>
        <v>7440.9600000000009</v>
      </c>
      <c r="Y36" s="3"/>
      <c r="Z36" s="7">
        <f t="shared" si="29"/>
        <v>0.62189333732274366</v>
      </c>
    </row>
    <row r="37" spans="1:26" s="24" customFormat="1" hidden="1" outlineLevel="2" x14ac:dyDescent="0.3">
      <c r="A37" s="27"/>
      <c r="B37" s="12" t="str">
        <f>CONCATENATE("          ", "6005", " - ", "TEMPORARY WAGES-HOURLY")</f>
        <v xml:space="preserve">          6005 - TEMPORARY WAGES-HOURLY</v>
      </c>
      <c r="C37" s="12"/>
      <c r="D37" s="8">
        <v>4625.88</v>
      </c>
      <c r="E37" s="3"/>
      <c r="F37" s="7">
        <f t="shared" si="22"/>
        <v>0.20123589713472848</v>
      </c>
      <c r="G37" s="3"/>
      <c r="H37" s="8"/>
      <c r="I37" s="3"/>
      <c r="J37" s="7">
        <f t="shared" si="23"/>
        <v>0</v>
      </c>
      <c r="K37" s="3"/>
      <c r="L37" s="8">
        <f t="shared" si="24"/>
        <v>4625.88</v>
      </c>
      <c r="M37" s="3"/>
      <c r="N37" s="7">
        <f t="shared" si="25"/>
        <v>0</v>
      </c>
      <c r="O37" s="12"/>
      <c r="P37" s="8">
        <v>4625.88</v>
      </c>
      <c r="Q37" s="3"/>
      <c r="R37" s="7">
        <f t="shared" si="26"/>
        <v>0.20123589713472848</v>
      </c>
      <c r="S37" s="3"/>
      <c r="T37" s="8"/>
      <c r="U37" s="3"/>
      <c r="V37" s="7">
        <f t="shared" si="27"/>
        <v>0</v>
      </c>
      <c r="W37" s="3"/>
      <c r="X37" s="8">
        <f t="shared" si="28"/>
        <v>4625.88</v>
      </c>
      <c r="Y37" s="3"/>
      <c r="Z37" s="7">
        <f t="shared" si="29"/>
        <v>0</v>
      </c>
    </row>
    <row r="38" spans="1:26" s="24" customFormat="1" hidden="1" outlineLevel="2" x14ac:dyDescent="0.3">
      <c r="A38" s="27"/>
      <c r="B38" s="12" t="str">
        <f>CONCATENATE("          ", "6007", " - ", "STUDENT HOURLY")</f>
        <v xml:space="preserve">          6007 - STUDENT HOURLY</v>
      </c>
      <c r="C38" s="12"/>
      <c r="D38" s="8">
        <v>7277.79</v>
      </c>
      <c r="E38" s="3"/>
      <c r="F38" s="7">
        <f t="shared" si="22"/>
        <v>0.31659978205404277</v>
      </c>
      <c r="G38" s="3"/>
      <c r="H38" s="8">
        <v>2854</v>
      </c>
      <c r="I38" s="3"/>
      <c r="J38" s="7">
        <f t="shared" si="23"/>
        <v>0</v>
      </c>
      <c r="K38" s="3"/>
      <c r="L38" s="8">
        <f t="shared" si="24"/>
        <v>4423.79</v>
      </c>
      <c r="M38" s="3"/>
      <c r="N38" s="7">
        <f t="shared" si="25"/>
        <v>1.550031534688157</v>
      </c>
      <c r="O38" s="12"/>
      <c r="P38" s="8">
        <v>7277.79</v>
      </c>
      <c r="Q38" s="3"/>
      <c r="R38" s="7">
        <f t="shared" si="26"/>
        <v>0.31659978205404277</v>
      </c>
      <c r="S38" s="3"/>
      <c r="T38" s="8">
        <v>2854</v>
      </c>
      <c r="U38" s="3"/>
      <c r="V38" s="7">
        <f t="shared" si="27"/>
        <v>0</v>
      </c>
      <c r="W38" s="3"/>
      <c r="X38" s="8">
        <f t="shared" si="28"/>
        <v>4423.79</v>
      </c>
      <c r="Y38" s="3"/>
      <c r="Z38" s="7">
        <f t="shared" si="29"/>
        <v>1.550031534688157</v>
      </c>
    </row>
    <row r="39" spans="1:26" s="29" customFormat="1" outlineLevel="1" collapsed="1" x14ac:dyDescent="0.3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40.31</v>
      </c>
      <c r="E39" s="1"/>
      <c r="F39" s="5">
        <f t="shared" ref="F39:F53" si="30">IF(D$12=0,0,D39/D$12)</f>
        <v>1.7535731608906639E-3</v>
      </c>
      <c r="G39" s="1"/>
      <c r="H39" s="1">
        <f>SUM(OSRRefH22_2x_0)</f>
        <v>519.74</v>
      </c>
      <c r="I39" s="1"/>
      <c r="J39" s="5">
        <f t="shared" ref="J39:J53" si="31">IF(H$12=0,0,H39/H$12)</f>
        <v>0</v>
      </c>
      <c r="K39" s="1"/>
      <c r="L39" s="1">
        <f t="shared" ref="L39:L53" si="32">+D39-H39</f>
        <v>-479.43</v>
      </c>
      <c r="M39" s="1"/>
      <c r="N39" s="5">
        <f t="shared" ref="N39:N53" si="33">IF(H39=0,0,L39/H39)</f>
        <v>-0.92244199022588214</v>
      </c>
      <c r="O39" s="14"/>
      <c r="P39" s="1">
        <f>SUM(OSRRefP22_2x_0)</f>
        <v>40.31</v>
      </c>
      <c r="Q39" s="1"/>
      <c r="R39" s="5">
        <f t="shared" ref="R39:R53" si="34">IF(P$12=0,0,P39/P$12)</f>
        <v>1.7535731608906639E-3</v>
      </c>
      <c r="S39" s="1"/>
      <c r="T39" s="1">
        <f>SUM(OSRRefT22_2x_0)</f>
        <v>519.74</v>
      </c>
      <c r="U39" s="1"/>
      <c r="V39" s="5">
        <f t="shared" ref="V39:V53" si="35">IF(T$12=0,0,T39/T$12)</f>
        <v>0</v>
      </c>
      <c r="W39" s="1"/>
      <c r="X39" s="1">
        <f t="shared" ref="X39:X53" si="36">+P39-T39</f>
        <v>-479.43</v>
      </c>
      <c r="Y39" s="1"/>
      <c r="Z39" s="5">
        <f t="shared" ref="Z39:Z53" si="37">IF(T39=0,0,X39/T39)</f>
        <v>-0.92244199022588214</v>
      </c>
    </row>
    <row r="40" spans="1:26" s="24" customFormat="1" hidden="1" outlineLevel="2" x14ac:dyDescent="0.3">
      <c r="A40" s="27"/>
      <c r="B40" s="12" t="str">
        <f>CONCATENATE("          ", "6362", " - ", "ADVERTISING EXPENSE")</f>
        <v xml:space="preserve">          6362 - ADVERTISING EXPENSE</v>
      </c>
      <c r="C40" s="12"/>
      <c r="D40" s="8">
        <v>40.31</v>
      </c>
      <c r="E40" s="3"/>
      <c r="F40" s="7">
        <f t="shared" si="30"/>
        <v>1.7535731608906639E-3</v>
      </c>
      <c r="G40" s="3"/>
      <c r="H40" s="8">
        <v>519.74</v>
      </c>
      <c r="I40" s="3"/>
      <c r="J40" s="7">
        <f t="shared" si="31"/>
        <v>0</v>
      </c>
      <c r="K40" s="3"/>
      <c r="L40" s="8">
        <f t="shared" si="32"/>
        <v>-479.43</v>
      </c>
      <c r="M40" s="3"/>
      <c r="N40" s="7">
        <f t="shared" si="33"/>
        <v>-0.92244199022588214</v>
      </c>
      <c r="O40" s="12"/>
      <c r="P40" s="8">
        <v>40.31</v>
      </c>
      <c r="Q40" s="3"/>
      <c r="R40" s="7">
        <f t="shared" si="34"/>
        <v>1.7535731608906639E-3</v>
      </c>
      <c r="S40" s="3"/>
      <c r="T40" s="8">
        <v>519.74</v>
      </c>
      <c r="U40" s="3"/>
      <c r="V40" s="7">
        <f t="shared" si="35"/>
        <v>0</v>
      </c>
      <c r="W40" s="3"/>
      <c r="X40" s="8">
        <f t="shared" si="36"/>
        <v>-479.43</v>
      </c>
      <c r="Y40" s="3"/>
      <c r="Z40" s="7">
        <f t="shared" si="37"/>
        <v>-0.92244199022588214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77.05</v>
      </c>
      <c r="E41" s="1"/>
      <c r="F41" s="5">
        <f t="shared" si="30"/>
        <v>3.3518435139326631E-3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77.05</v>
      </c>
      <c r="M41" s="1"/>
      <c r="N41" s="5">
        <f t="shared" si="33"/>
        <v>0</v>
      </c>
      <c r="O41" s="14"/>
      <c r="P41" s="1">
        <f>SUM(OSRRefP22_3x_0)</f>
        <v>77.05</v>
      </c>
      <c r="Q41" s="1"/>
      <c r="R41" s="5">
        <f t="shared" si="34"/>
        <v>3.3518435139326631E-3</v>
      </c>
      <c r="S41" s="1"/>
      <c r="T41" s="1">
        <f>SUM(OSRRefT22_3x_0)</f>
        <v>0</v>
      </c>
      <c r="U41" s="1"/>
      <c r="V41" s="5">
        <f t="shared" si="35"/>
        <v>0</v>
      </c>
      <c r="W41" s="1"/>
      <c r="X41" s="1">
        <f t="shared" si="36"/>
        <v>77.05</v>
      </c>
      <c r="Y41" s="1"/>
      <c r="Z41" s="5">
        <f t="shared" si="37"/>
        <v>0</v>
      </c>
    </row>
    <row r="42" spans="1:26" s="24" customFormat="1" hidden="1" outlineLevel="2" x14ac:dyDescent="0.3">
      <c r="A42" s="27"/>
      <c r="B42" s="12" t="str">
        <f>CONCATENATE("          ", "6381", " - ", "BANK/CREDIT CARD FEES")</f>
        <v xml:space="preserve">          6381 - BANK/CREDIT CARD FEES</v>
      </c>
      <c r="C42" s="12"/>
      <c r="D42" s="8">
        <v>77.05</v>
      </c>
      <c r="E42" s="3"/>
      <c r="F42" s="7">
        <f t="shared" si="30"/>
        <v>3.3518435139326631E-3</v>
      </c>
      <c r="G42" s="3"/>
      <c r="H42" s="8"/>
      <c r="I42" s="3"/>
      <c r="J42" s="7">
        <f t="shared" si="31"/>
        <v>0</v>
      </c>
      <c r="K42" s="3"/>
      <c r="L42" s="8">
        <f t="shared" si="32"/>
        <v>77.05</v>
      </c>
      <c r="M42" s="3"/>
      <c r="N42" s="7">
        <f t="shared" si="33"/>
        <v>0</v>
      </c>
      <c r="O42" s="12"/>
      <c r="P42" s="8">
        <v>77.05</v>
      </c>
      <c r="Q42" s="3"/>
      <c r="R42" s="7">
        <f t="shared" si="34"/>
        <v>3.3518435139326631E-3</v>
      </c>
      <c r="S42" s="3"/>
      <c r="T42" s="8"/>
      <c r="U42" s="3"/>
      <c r="V42" s="7">
        <f t="shared" si="35"/>
        <v>0</v>
      </c>
      <c r="W42" s="3"/>
      <c r="X42" s="8">
        <f t="shared" si="36"/>
        <v>77.05</v>
      </c>
      <c r="Y42" s="3"/>
      <c r="Z42" s="7">
        <f t="shared" si="37"/>
        <v>0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SUM(OSRRefD22_4x_0)</f>
        <v>273.51</v>
      </c>
      <c r="E43" s="1"/>
      <c r="F43" s="5">
        <f t="shared" si="30"/>
        <v>1.1898283186187186E-2</v>
      </c>
      <c r="G43" s="1"/>
      <c r="H43" s="1">
        <f>SUM(OSRRefH22_4x_0)</f>
        <v>0</v>
      </c>
      <c r="I43" s="1"/>
      <c r="J43" s="5">
        <f t="shared" si="31"/>
        <v>0</v>
      </c>
      <c r="K43" s="1"/>
      <c r="L43" s="1">
        <f t="shared" si="32"/>
        <v>273.51</v>
      </c>
      <c r="M43" s="1"/>
      <c r="N43" s="5">
        <f t="shared" si="33"/>
        <v>0</v>
      </c>
      <c r="O43" s="14"/>
      <c r="P43" s="1">
        <f>SUM(OSRRefP22_4x_0)</f>
        <v>273.51</v>
      </c>
      <c r="Q43" s="1"/>
      <c r="R43" s="5">
        <f t="shared" si="34"/>
        <v>1.1898283186187186E-2</v>
      </c>
      <c r="S43" s="1"/>
      <c r="T43" s="1">
        <f>SUM(OSRRefT22_4x_0)</f>
        <v>0</v>
      </c>
      <c r="U43" s="1"/>
      <c r="V43" s="5">
        <f t="shared" si="35"/>
        <v>0</v>
      </c>
      <c r="W43" s="1"/>
      <c r="X43" s="1">
        <f t="shared" si="36"/>
        <v>273.51</v>
      </c>
      <c r="Y43" s="1"/>
      <c r="Z43" s="5">
        <f t="shared" si="37"/>
        <v>0</v>
      </c>
    </row>
    <row r="44" spans="1:26" s="24" customFormat="1" hidden="1" outlineLevel="2" x14ac:dyDescent="0.3">
      <c r="A44" s="27"/>
      <c r="B44" s="12" t="str">
        <f>CONCATENATE("          ", "6322", " - ", "EQUIPMENT DEPRECIATION EXPENSE")</f>
        <v xml:space="preserve">          6322 - EQUIPMENT DEPRECIATION EXPENSE</v>
      </c>
      <c r="C44" s="12"/>
      <c r="D44" s="8">
        <v>273.51</v>
      </c>
      <c r="E44" s="3"/>
      <c r="F44" s="7">
        <f t="shared" si="30"/>
        <v>1.1898283186187186E-2</v>
      </c>
      <c r="G44" s="3"/>
      <c r="H44" s="8"/>
      <c r="I44" s="3"/>
      <c r="J44" s="7">
        <f t="shared" si="31"/>
        <v>0</v>
      </c>
      <c r="K44" s="3"/>
      <c r="L44" s="8">
        <f t="shared" si="32"/>
        <v>273.51</v>
      </c>
      <c r="M44" s="3"/>
      <c r="N44" s="7">
        <f t="shared" si="33"/>
        <v>0</v>
      </c>
      <c r="O44" s="12"/>
      <c r="P44" s="8">
        <v>273.51</v>
      </c>
      <c r="Q44" s="3"/>
      <c r="R44" s="7">
        <f t="shared" si="34"/>
        <v>1.1898283186187186E-2</v>
      </c>
      <c r="S44" s="3"/>
      <c r="T44" s="8"/>
      <c r="U44" s="3"/>
      <c r="V44" s="7">
        <f t="shared" si="35"/>
        <v>0</v>
      </c>
      <c r="W44" s="3"/>
      <c r="X44" s="8">
        <f t="shared" si="36"/>
        <v>273.51</v>
      </c>
      <c r="Y44" s="3"/>
      <c r="Z44" s="7">
        <f t="shared" si="37"/>
        <v>0</v>
      </c>
    </row>
    <row r="45" spans="1:26" s="29" customFormat="1" outlineLevel="1" collapsed="1" x14ac:dyDescent="0.3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SUM(OSRRefD22_5x_0)</f>
        <v>427.1</v>
      </c>
      <c r="E45" s="1"/>
      <c r="F45" s="5">
        <f t="shared" si="30"/>
        <v>1.8579784098645562E-2</v>
      </c>
      <c r="G45" s="1"/>
      <c r="H45" s="1">
        <f>SUM(OSRRefH22_5x_0)</f>
        <v>207.6</v>
      </c>
      <c r="I45" s="1"/>
      <c r="J45" s="5">
        <f t="shared" si="31"/>
        <v>0</v>
      </c>
      <c r="K45" s="1"/>
      <c r="L45" s="1">
        <f t="shared" si="32"/>
        <v>219.50000000000003</v>
      </c>
      <c r="M45" s="1"/>
      <c r="N45" s="5">
        <f t="shared" si="33"/>
        <v>1.057321772639692</v>
      </c>
      <c r="O45" s="14"/>
      <c r="P45" s="1">
        <f>SUM(OSRRefP22_5x_0)</f>
        <v>427.1</v>
      </c>
      <c r="Q45" s="1"/>
      <c r="R45" s="5">
        <f t="shared" si="34"/>
        <v>1.8579784098645562E-2</v>
      </c>
      <c r="S45" s="1"/>
      <c r="T45" s="1">
        <f>SUM(OSRRefT22_5x_0)</f>
        <v>207.6</v>
      </c>
      <c r="U45" s="1"/>
      <c r="V45" s="5">
        <f t="shared" si="35"/>
        <v>0</v>
      </c>
      <c r="W45" s="1"/>
      <c r="X45" s="1">
        <f t="shared" si="36"/>
        <v>219.50000000000003</v>
      </c>
      <c r="Y45" s="1"/>
      <c r="Z45" s="5">
        <f t="shared" si="37"/>
        <v>1.057321772639692</v>
      </c>
    </row>
    <row r="46" spans="1:26" s="24" customFormat="1" hidden="1" outlineLevel="2" x14ac:dyDescent="0.3">
      <c r="A46" s="27"/>
      <c r="B46" s="12" t="str">
        <f>CONCATENATE("          ", "6351", " - ", "EQUIPMENT RENTAL")</f>
        <v xml:space="preserve">          6351 - EQUIPMENT RENTAL</v>
      </c>
      <c r="C46" s="12"/>
      <c r="D46" s="8">
        <v>427.1</v>
      </c>
      <c r="E46" s="3"/>
      <c r="F46" s="7">
        <f t="shared" si="30"/>
        <v>1.8579784098645562E-2</v>
      </c>
      <c r="G46" s="3"/>
      <c r="H46" s="8">
        <v>207.6</v>
      </c>
      <c r="I46" s="3"/>
      <c r="J46" s="7">
        <f t="shared" si="31"/>
        <v>0</v>
      </c>
      <c r="K46" s="3"/>
      <c r="L46" s="8">
        <f t="shared" si="32"/>
        <v>219.50000000000003</v>
      </c>
      <c r="M46" s="3"/>
      <c r="N46" s="7">
        <f t="shared" si="33"/>
        <v>1.057321772639692</v>
      </c>
      <c r="O46" s="12"/>
      <c r="P46" s="8">
        <v>427.1</v>
      </c>
      <c r="Q46" s="3"/>
      <c r="R46" s="7">
        <f t="shared" si="34"/>
        <v>1.8579784098645562E-2</v>
      </c>
      <c r="S46" s="3"/>
      <c r="T46" s="8">
        <v>207.6</v>
      </c>
      <c r="U46" s="3"/>
      <c r="V46" s="7">
        <f t="shared" si="35"/>
        <v>0</v>
      </c>
      <c r="W46" s="3"/>
      <c r="X46" s="8">
        <f t="shared" si="36"/>
        <v>219.50000000000003</v>
      </c>
      <c r="Y46" s="3"/>
      <c r="Z46" s="7">
        <f t="shared" si="37"/>
        <v>1.057321772639692</v>
      </c>
    </row>
    <row r="47" spans="1:26" s="29" customFormat="1" outlineLevel="1" collapsed="1" x14ac:dyDescent="0.3">
      <c r="A47" s="28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SUM(OSRRefD22_6x_0)</f>
        <v>88.38</v>
      </c>
      <c r="E47" s="1"/>
      <c r="F47" s="5">
        <f t="shared" si="30"/>
        <v>3.8447232934635789E-3</v>
      </c>
      <c r="G47" s="1"/>
      <c r="H47" s="1">
        <f>SUM(OSRRefH22_6x_0)</f>
        <v>1439.55</v>
      </c>
      <c r="I47" s="1"/>
      <c r="J47" s="5">
        <f t="shared" si="31"/>
        <v>0</v>
      </c>
      <c r="K47" s="1"/>
      <c r="L47" s="1">
        <f t="shared" si="32"/>
        <v>-1351.17</v>
      </c>
      <c r="M47" s="1"/>
      <c r="N47" s="5">
        <f t="shared" si="33"/>
        <v>-0.9386058143169741</v>
      </c>
      <c r="O47" s="14"/>
      <c r="P47" s="1">
        <f>SUM(OSRRefP22_6x_0)</f>
        <v>88.38</v>
      </c>
      <c r="Q47" s="1"/>
      <c r="R47" s="5">
        <f t="shared" si="34"/>
        <v>3.8447232934635789E-3</v>
      </c>
      <c r="S47" s="1"/>
      <c r="T47" s="1">
        <f>SUM(OSRRefT22_6x_0)</f>
        <v>1439.55</v>
      </c>
      <c r="U47" s="1"/>
      <c r="V47" s="5">
        <f t="shared" si="35"/>
        <v>0</v>
      </c>
      <c r="W47" s="1"/>
      <c r="X47" s="1">
        <f t="shared" si="36"/>
        <v>-1351.17</v>
      </c>
      <c r="Y47" s="1"/>
      <c r="Z47" s="5">
        <f t="shared" si="37"/>
        <v>-0.9386058143169741</v>
      </c>
    </row>
    <row r="48" spans="1:26" s="24" customFormat="1" hidden="1" outlineLevel="2" x14ac:dyDescent="0.3">
      <c r="A48" s="27"/>
      <c r="B48" s="12" t="str">
        <f>CONCATENATE("          ", "6279", " - ", "GENERAL EXPENSE")</f>
        <v xml:space="preserve">          6279 - GENERAL EXPENSE</v>
      </c>
      <c r="C48" s="12"/>
      <c r="D48" s="8">
        <v>88.38</v>
      </c>
      <c r="E48" s="3"/>
      <c r="F48" s="7">
        <f t="shared" si="30"/>
        <v>3.8447232934635789E-3</v>
      </c>
      <c r="G48" s="3"/>
      <c r="H48" s="8">
        <v>1439.55</v>
      </c>
      <c r="I48" s="3"/>
      <c r="J48" s="7">
        <f t="shared" si="31"/>
        <v>0</v>
      </c>
      <c r="K48" s="3"/>
      <c r="L48" s="8">
        <f t="shared" si="32"/>
        <v>-1351.17</v>
      </c>
      <c r="M48" s="3"/>
      <c r="N48" s="7">
        <f t="shared" si="33"/>
        <v>-0.9386058143169741</v>
      </c>
      <c r="O48" s="12"/>
      <c r="P48" s="8">
        <v>88.38</v>
      </c>
      <c r="Q48" s="3"/>
      <c r="R48" s="7">
        <f t="shared" si="34"/>
        <v>3.8447232934635789E-3</v>
      </c>
      <c r="S48" s="3"/>
      <c r="T48" s="8">
        <v>1439.55</v>
      </c>
      <c r="U48" s="3"/>
      <c r="V48" s="7">
        <f t="shared" si="35"/>
        <v>0</v>
      </c>
      <c r="W48" s="3"/>
      <c r="X48" s="8">
        <f t="shared" si="36"/>
        <v>-1351.17</v>
      </c>
      <c r="Y48" s="3"/>
      <c r="Z48" s="7">
        <f t="shared" si="37"/>
        <v>-0.9386058143169741</v>
      </c>
    </row>
    <row r="49" spans="1:26" s="29" customFormat="1" outlineLevel="1" collapsed="1" x14ac:dyDescent="0.3">
      <c r="A49" s="28"/>
      <c r="B49" s="14" t="str">
        <f>CONCATENATE("     ","R/H Commissions                                   ")</f>
        <v xml:space="preserve">     R/H Commissions                                   </v>
      </c>
      <c r="C49" s="14"/>
      <c r="D49" s="1">
        <f>SUM(OSRRefD22_7x_0)</f>
        <v>1568</v>
      </c>
      <c r="E49" s="1"/>
      <c r="F49" s="5">
        <f t="shared" si="30"/>
        <v>6.8211429329609552E-2</v>
      </c>
      <c r="G49" s="1"/>
      <c r="H49" s="1">
        <f>SUM(OSRRefH22_7x_0)</f>
        <v>0</v>
      </c>
      <c r="I49" s="1"/>
      <c r="J49" s="5">
        <f t="shared" si="31"/>
        <v>0</v>
      </c>
      <c r="K49" s="1"/>
      <c r="L49" s="1">
        <f t="shared" si="32"/>
        <v>1568</v>
      </c>
      <c r="M49" s="1"/>
      <c r="N49" s="5">
        <f t="shared" si="33"/>
        <v>0</v>
      </c>
      <c r="O49" s="14"/>
      <c r="P49" s="1">
        <f>SUM(OSRRefP22_7x_0)</f>
        <v>1568</v>
      </c>
      <c r="Q49" s="1"/>
      <c r="R49" s="5">
        <f t="shared" si="34"/>
        <v>6.8211429329609552E-2</v>
      </c>
      <c r="S49" s="1"/>
      <c r="T49" s="1">
        <f>SUM(OSRRefT22_7x_0)</f>
        <v>0</v>
      </c>
      <c r="U49" s="1"/>
      <c r="V49" s="5">
        <f t="shared" si="35"/>
        <v>0</v>
      </c>
      <c r="W49" s="1"/>
      <c r="X49" s="1">
        <f t="shared" si="36"/>
        <v>1568</v>
      </c>
      <c r="Y49" s="1"/>
      <c r="Z49" s="5">
        <f t="shared" si="37"/>
        <v>0</v>
      </c>
    </row>
    <row r="50" spans="1:26" s="24" customFormat="1" hidden="1" outlineLevel="2" x14ac:dyDescent="0.3">
      <c r="A50" s="27"/>
      <c r="B50" s="12" t="str">
        <f>CONCATENATE("          ", "6387", " - ", "COMMISSION DUE HOUSING")</f>
        <v xml:space="preserve">          6387 - COMMISSION DUE HOUSING</v>
      </c>
      <c r="C50" s="12"/>
      <c r="D50" s="8">
        <v>1568</v>
      </c>
      <c r="E50" s="3"/>
      <c r="F50" s="7">
        <f t="shared" si="30"/>
        <v>6.8211429329609552E-2</v>
      </c>
      <c r="G50" s="3"/>
      <c r="H50" s="8"/>
      <c r="I50" s="3"/>
      <c r="J50" s="7">
        <f t="shared" si="31"/>
        <v>0</v>
      </c>
      <c r="K50" s="3"/>
      <c r="L50" s="8">
        <f t="shared" si="32"/>
        <v>1568</v>
      </c>
      <c r="M50" s="3"/>
      <c r="N50" s="7">
        <f t="shared" si="33"/>
        <v>0</v>
      </c>
      <c r="O50" s="12"/>
      <c r="P50" s="8">
        <v>1568</v>
      </c>
      <c r="Q50" s="3"/>
      <c r="R50" s="7">
        <f t="shared" si="34"/>
        <v>6.8211429329609552E-2</v>
      </c>
      <c r="S50" s="3"/>
      <c r="T50" s="8"/>
      <c r="U50" s="3"/>
      <c r="V50" s="7">
        <f t="shared" si="35"/>
        <v>0</v>
      </c>
      <c r="W50" s="3"/>
      <c r="X50" s="8">
        <f t="shared" si="36"/>
        <v>1568</v>
      </c>
      <c r="Y50" s="3"/>
      <c r="Z50" s="7">
        <f t="shared" si="37"/>
        <v>0</v>
      </c>
    </row>
    <row r="51" spans="1:26" s="29" customFormat="1" outlineLevel="1" collapsed="1" x14ac:dyDescent="0.3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SUM(OSRRefD22_8x_0)</f>
        <v>629</v>
      </c>
      <c r="E51" s="1"/>
      <c r="F51" s="5">
        <f t="shared" si="30"/>
        <v>2.7362875668574239E-2</v>
      </c>
      <c r="G51" s="1"/>
      <c r="H51" s="1">
        <f>SUM(OSRRefH22_8x_0)</f>
        <v>1.65</v>
      </c>
      <c r="I51" s="1"/>
      <c r="J51" s="5">
        <f t="shared" si="31"/>
        <v>0</v>
      </c>
      <c r="K51" s="1"/>
      <c r="L51" s="1">
        <f t="shared" si="32"/>
        <v>627.35</v>
      </c>
      <c r="M51" s="1"/>
      <c r="N51" s="5">
        <f t="shared" si="33"/>
        <v>380.21212121212125</v>
      </c>
      <c r="O51" s="14"/>
      <c r="P51" s="1">
        <f>SUM(OSRRefP22_8x_0)</f>
        <v>629</v>
      </c>
      <c r="Q51" s="1"/>
      <c r="R51" s="5">
        <f t="shared" si="34"/>
        <v>2.7362875668574239E-2</v>
      </c>
      <c r="S51" s="1"/>
      <c r="T51" s="1">
        <f>SUM(OSRRefT22_8x_0)</f>
        <v>1.65</v>
      </c>
      <c r="U51" s="1"/>
      <c r="V51" s="5">
        <f t="shared" si="35"/>
        <v>0</v>
      </c>
      <c r="W51" s="1"/>
      <c r="X51" s="1">
        <f t="shared" si="36"/>
        <v>627.35</v>
      </c>
      <c r="Y51" s="1"/>
      <c r="Z51" s="5">
        <f t="shared" si="37"/>
        <v>380.21212121212125</v>
      </c>
    </row>
    <row r="52" spans="1:26" s="24" customFormat="1" hidden="1" outlineLevel="2" x14ac:dyDescent="0.3">
      <c r="A52" s="27"/>
      <c r="B52" s="12" t="str">
        <f>CONCATENATE("          ", "6373", " - ", "MAINTENANCE CONTRACTS")</f>
        <v xml:space="preserve">          6373 - MAINTENANCE CONTRACTS</v>
      </c>
      <c r="C52" s="12"/>
      <c r="D52" s="8">
        <v>14</v>
      </c>
      <c r="E52" s="3"/>
      <c r="F52" s="7">
        <f t="shared" si="30"/>
        <v>6.09030619014371E-4</v>
      </c>
      <c r="G52" s="3"/>
      <c r="H52" s="8">
        <v>1.65</v>
      </c>
      <c r="I52" s="3"/>
      <c r="J52" s="7">
        <f t="shared" si="31"/>
        <v>0</v>
      </c>
      <c r="K52" s="3"/>
      <c r="L52" s="8">
        <f t="shared" si="32"/>
        <v>12.35</v>
      </c>
      <c r="M52" s="3"/>
      <c r="N52" s="7">
        <f t="shared" si="33"/>
        <v>7.4848484848484853</v>
      </c>
      <c r="O52" s="12"/>
      <c r="P52" s="8">
        <v>14</v>
      </c>
      <c r="Q52" s="3"/>
      <c r="R52" s="7">
        <f t="shared" si="34"/>
        <v>6.09030619014371E-4</v>
      </c>
      <c r="S52" s="3"/>
      <c r="T52" s="8">
        <v>1.65</v>
      </c>
      <c r="U52" s="3"/>
      <c r="V52" s="7">
        <f t="shared" si="35"/>
        <v>0</v>
      </c>
      <c r="W52" s="3"/>
      <c r="X52" s="8">
        <f t="shared" si="36"/>
        <v>12.35</v>
      </c>
      <c r="Y52" s="3"/>
      <c r="Z52" s="7">
        <f t="shared" si="37"/>
        <v>7.4848484848484853</v>
      </c>
    </row>
    <row r="53" spans="1:26" s="24" customFormat="1" hidden="1" outlineLevel="2" x14ac:dyDescent="0.3">
      <c r="A53" s="27"/>
      <c r="B53" s="12" t="str">
        <f>CONCATENATE("          ", "6375", " - ", "OUTSIDE REPAIRS &amp; MAINTENANCE")</f>
        <v xml:space="preserve">          6375 - OUTSIDE REPAIRS &amp; MAINTENANCE</v>
      </c>
      <c r="C53" s="12"/>
      <c r="D53" s="8">
        <v>615</v>
      </c>
      <c r="E53" s="3"/>
      <c r="F53" s="7">
        <f t="shared" si="30"/>
        <v>2.6753845049559868E-2</v>
      </c>
      <c r="G53" s="3"/>
      <c r="H53" s="8"/>
      <c r="I53" s="3"/>
      <c r="J53" s="7">
        <f t="shared" si="31"/>
        <v>0</v>
      </c>
      <c r="K53" s="3"/>
      <c r="L53" s="8">
        <f t="shared" si="32"/>
        <v>615</v>
      </c>
      <c r="M53" s="3"/>
      <c r="N53" s="7">
        <f t="shared" si="33"/>
        <v>0</v>
      </c>
      <c r="O53" s="12"/>
      <c r="P53" s="8">
        <v>615</v>
      </c>
      <c r="Q53" s="3"/>
      <c r="R53" s="7">
        <f t="shared" si="34"/>
        <v>2.6753845049559868E-2</v>
      </c>
      <c r="S53" s="3"/>
      <c r="T53" s="8"/>
      <c r="U53" s="3"/>
      <c r="V53" s="7">
        <f t="shared" si="35"/>
        <v>0</v>
      </c>
      <c r="W53" s="3"/>
      <c r="X53" s="8">
        <f t="shared" si="36"/>
        <v>615</v>
      </c>
      <c r="Y53" s="3"/>
      <c r="Z53" s="7">
        <f t="shared" si="37"/>
        <v>0</v>
      </c>
    </row>
    <row r="54" spans="1:26" s="29" customFormat="1" outlineLevel="1" collapsed="1" x14ac:dyDescent="0.3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5812.9</v>
      </c>
      <c r="E54" s="1"/>
      <c r="F54" s="5">
        <f t="shared" ref="F54:F57" si="38">IF(D$12=0,0,D54/D$12)</f>
        <v>0.25287386323347405</v>
      </c>
      <c r="G54" s="1"/>
      <c r="H54" s="1">
        <f>SUM(OSRRefH22_9x_0)</f>
        <v>574.88</v>
      </c>
      <c r="I54" s="1"/>
      <c r="J54" s="5">
        <f t="shared" ref="J54:J57" si="39">IF(H$12=0,0,H54/H$12)</f>
        <v>0</v>
      </c>
      <c r="K54" s="1"/>
      <c r="L54" s="1">
        <f t="shared" ref="L54:L57" si="40">+D54-H54</f>
        <v>5238.0199999999995</v>
      </c>
      <c r="M54" s="1"/>
      <c r="N54" s="5">
        <f t="shared" ref="N54:N57" si="41">IF(H54=0,0,L54/H54)</f>
        <v>9.1115015307542429</v>
      </c>
      <c r="O54" s="14"/>
      <c r="P54" s="1">
        <f>SUM(OSRRefP22_9x_0)</f>
        <v>5812.9</v>
      </c>
      <c r="Q54" s="1"/>
      <c r="R54" s="5">
        <f t="shared" ref="R54:R57" si="42">IF(P$12=0,0,P54/P$12)</f>
        <v>0.25287386323347405</v>
      </c>
      <c r="S54" s="1"/>
      <c r="T54" s="1">
        <f>SUM(OSRRefT22_9x_0)</f>
        <v>574.88</v>
      </c>
      <c r="U54" s="1"/>
      <c r="V54" s="5">
        <f t="shared" ref="V54:V57" si="43">IF(T$12=0,0,T54/T$12)</f>
        <v>0</v>
      </c>
      <c r="W54" s="1"/>
      <c r="X54" s="1">
        <f t="shared" ref="X54:X57" si="44">+P54-T54</f>
        <v>5238.0199999999995</v>
      </c>
      <c r="Y54" s="1"/>
      <c r="Z54" s="5">
        <f t="shared" ref="Z54:Z57" si="45">IF(T54=0,0,X54/T54)</f>
        <v>9.1115015307542429</v>
      </c>
    </row>
    <row r="55" spans="1:26" s="24" customFormat="1" hidden="1" outlineLevel="2" x14ac:dyDescent="0.3">
      <c r="A55" s="27"/>
      <c r="B55" s="12" t="str">
        <f>CONCATENATE("          ", "6282", " - ", "JANITORIAL/EXTERMINATOR EXPENS")</f>
        <v xml:space="preserve">          6282 - JANITORIAL/EXTERMINATOR EXPENS</v>
      </c>
      <c r="C55" s="12"/>
      <c r="D55" s="8">
        <v>421.34</v>
      </c>
      <c r="E55" s="3"/>
      <c r="F55" s="7">
        <f t="shared" si="38"/>
        <v>1.8329211501108219E-2</v>
      </c>
      <c r="G55" s="3"/>
      <c r="H55" s="8">
        <v>421.34</v>
      </c>
      <c r="I55" s="3"/>
      <c r="J55" s="7">
        <f t="shared" si="39"/>
        <v>0</v>
      </c>
      <c r="K55" s="3"/>
      <c r="L55" s="8">
        <f t="shared" si="40"/>
        <v>0</v>
      </c>
      <c r="M55" s="3"/>
      <c r="N55" s="7">
        <f t="shared" si="41"/>
        <v>0</v>
      </c>
      <c r="O55" s="12"/>
      <c r="P55" s="8">
        <v>421.34</v>
      </c>
      <c r="Q55" s="3"/>
      <c r="R55" s="7">
        <f t="shared" si="42"/>
        <v>1.8329211501108219E-2</v>
      </c>
      <c r="S55" s="3"/>
      <c r="T55" s="8">
        <v>421.34</v>
      </c>
      <c r="U55" s="3"/>
      <c r="V55" s="7">
        <f t="shared" si="43"/>
        <v>0</v>
      </c>
      <c r="W55" s="3"/>
      <c r="X55" s="8">
        <f t="shared" si="44"/>
        <v>0</v>
      </c>
      <c r="Y55" s="3"/>
      <c r="Z55" s="7">
        <f t="shared" si="45"/>
        <v>0</v>
      </c>
    </row>
    <row r="56" spans="1:26" s="24" customFormat="1" hidden="1" outlineLevel="2" x14ac:dyDescent="0.3">
      <c r="A56" s="27"/>
      <c r="B56" s="12" t="str">
        <f>CONCATENATE("          ", "6285", " - ", "JANITORIAL SERVICES")</f>
        <v xml:space="preserve">          6285 - JANITORIAL SERVICES</v>
      </c>
      <c r="C56" s="12"/>
      <c r="D56" s="8">
        <v>4468.33</v>
      </c>
      <c r="E56" s="3"/>
      <c r="F56" s="7">
        <f t="shared" si="38"/>
        <v>0.19438212756146317</v>
      </c>
      <c r="G56" s="3"/>
      <c r="H56" s="8"/>
      <c r="I56" s="3"/>
      <c r="J56" s="7">
        <f t="shared" si="39"/>
        <v>0</v>
      </c>
      <c r="K56" s="3"/>
      <c r="L56" s="8">
        <f t="shared" si="40"/>
        <v>4468.33</v>
      </c>
      <c r="M56" s="3"/>
      <c r="N56" s="7">
        <f t="shared" si="41"/>
        <v>0</v>
      </c>
      <c r="O56" s="12"/>
      <c r="P56" s="8">
        <v>4468.33</v>
      </c>
      <c r="Q56" s="3"/>
      <c r="R56" s="7">
        <f t="shared" si="42"/>
        <v>0.19438212756146317</v>
      </c>
      <c r="S56" s="3"/>
      <c r="T56" s="8"/>
      <c r="U56" s="3"/>
      <c r="V56" s="7">
        <f t="shared" si="43"/>
        <v>0</v>
      </c>
      <c r="W56" s="3"/>
      <c r="X56" s="8">
        <f t="shared" si="44"/>
        <v>4468.33</v>
      </c>
      <c r="Y56" s="3"/>
      <c r="Z56" s="7">
        <f t="shared" si="45"/>
        <v>0</v>
      </c>
    </row>
    <row r="57" spans="1:26" s="24" customFormat="1" hidden="1" outlineLevel="2" x14ac:dyDescent="0.3">
      <c r="A57" s="27"/>
      <c r="B57" s="12" t="str">
        <f>CONCATENATE("          ", "6286", " - ", "LAUNDRY EXPENSE")</f>
        <v xml:space="preserve">          6286 - LAUNDRY EXPENSE</v>
      </c>
      <c r="C57" s="12"/>
      <c r="D57" s="8">
        <v>923.23</v>
      </c>
      <c r="E57" s="3"/>
      <c r="F57" s="7">
        <f t="shared" si="38"/>
        <v>4.0162524170902693E-2</v>
      </c>
      <c r="G57" s="3"/>
      <c r="H57" s="8">
        <v>153.54</v>
      </c>
      <c r="I57" s="3"/>
      <c r="J57" s="7">
        <f t="shared" si="39"/>
        <v>0</v>
      </c>
      <c r="K57" s="3"/>
      <c r="L57" s="8">
        <f t="shared" si="40"/>
        <v>769.69</v>
      </c>
      <c r="M57" s="3"/>
      <c r="N57" s="7">
        <f t="shared" si="41"/>
        <v>5.0129607919760328</v>
      </c>
      <c r="O57" s="12"/>
      <c r="P57" s="8">
        <v>923.23</v>
      </c>
      <c r="Q57" s="3"/>
      <c r="R57" s="7">
        <f t="shared" si="42"/>
        <v>4.0162524170902693E-2</v>
      </c>
      <c r="S57" s="3"/>
      <c r="T57" s="8">
        <v>153.54</v>
      </c>
      <c r="U57" s="3"/>
      <c r="V57" s="7">
        <f t="shared" si="43"/>
        <v>0</v>
      </c>
      <c r="W57" s="3"/>
      <c r="X57" s="8">
        <f t="shared" si="44"/>
        <v>769.69</v>
      </c>
      <c r="Y57" s="3"/>
      <c r="Z57" s="7">
        <f t="shared" si="45"/>
        <v>5.0129607919760328</v>
      </c>
    </row>
    <row r="58" spans="1:26" s="29" customFormat="1" outlineLevel="1" collapsed="1" x14ac:dyDescent="0.3">
      <c r="A58" s="28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SUM(OSRRefD22_10x_0)</f>
        <v>5201.6799999999994</v>
      </c>
      <c r="E58" s="1"/>
      <c r="F58" s="5">
        <f t="shared" ref="F58:F61" si="46">IF(D$12=0,0,D58/D$12)</f>
        <v>0.22628445645104805</v>
      </c>
      <c r="G58" s="1"/>
      <c r="H58" s="1">
        <f>SUM(OSRRefH22_10x_0)</f>
        <v>0</v>
      </c>
      <c r="I58" s="1"/>
      <c r="J58" s="5">
        <f t="shared" ref="J58:J61" si="47">IF(H$12=0,0,H58/H$12)</f>
        <v>0</v>
      </c>
      <c r="K58" s="1"/>
      <c r="L58" s="1">
        <f t="shared" ref="L58:L61" si="48">+D58-H58</f>
        <v>5201.6799999999994</v>
      </c>
      <c r="M58" s="1"/>
      <c r="N58" s="5">
        <f t="shared" ref="N58:N61" si="49">IF(H58=0,0,L58/H58)</f>
        <v>0</v>
      </c>
      <c r="O58" s="14"/>
      <c r="P58" s="1">
        <f>SUM(OSRRefP22_10x_0)</f>
        <v>5201.6799999999994</v>
      </c>
      <c r="Q58" s="1"/>
      <c r="R58" s="5">
        <f t="shared" ref="R58:R61" si="50">IF(P$12=0,0,P58/P$12)</f>
        <v>0.22628445645104805</v>
      </c>
      <c r="S58" s="1"/>
      <c r="T58" s="1">
        <f>SUM(OSRRefT22_10x_0)</f>
        <v>0</v>
      </c>
      <c r="U58" s="1"/>
      <c r="V58" s="5">
        <f t="shared" ref="V58:V61" si="51">IF(T$12=0,0,T58/T$12)</f>
        <v>0</v>
      </c>
      <c r="W58" s="1"/>
      <c r="X58" s="1">
        <f t="shared" ref="X58:X61" si="52">+P58-T58</f>
        <v>5201.6799999999994</v>
      </c>
      <c r="Y58" s="1"/>
      <c r="Z58" s="5">
        <f t="shared" ref="Z58:Z61" si="53">IF(T58=0,0,X58/T58)</f>
        <v>0</v>
      </c>
    </row>
    <row r="59" spans="1:26" s="24" customFormat="1" hidden="1" outlineLevel="2" x14ac:dyDescent="0.3">
      <c r="A59" s="27"/>
      <c r="B59" s="12" t="str">
        <f>CONCATENATE("          ", "6237", " - ", "JANITORIAL SUPPLIES")</f>
        <v xml:space="preserve">          6237 - JANITORIAL SUPPLIES</v>
      </c>
      <c r="C59" s="12"/>
      <c r="D59" s="8">
        <v>3701.95</v>
      </c>
      <c r="E59" s="3"/>
      <c r="F59" s="7">
        <f t="shared" si="46"/>
        <v>0.16104292143287505</v>
      </c>
      <c r="G59" s="3"/>
      <c r="H59" s="8"/>
      <c r="I59" s="3"/>
      <c r="J59" s="7">
        <f t="shared" si="47"/>
        <v>0</v>
      </c>
      <c r="K59" s="3"/>
      <c r="L59" s="8">
        <f t="shared" si="48"/>
        <v>3701.95</v>
      </c>
      <c r="M59" s="3"/>
      <c r="N59" s="7">
        <f t="shared" si="49"/>
        <v>0</v>
      </c>
      <c r="O59" s="12"/>
      <c r="P59" s="8">
        <v>3701.95</v>
      </c>
      <c r="Q59" s="3"/>
      <c r="R59" s="7">
        <f t="shared" si="50"/>
        <v>0.16104292143287505</v>
      </c>
      <c r="S59" s="3"/>
      <c r="T59" s="8"/>
      <c r="U59" s="3"/>
      <c r="V59" s="7">
        <f t="shared" si="51"/>
        <v>0</v>
      </c>
      <c r="W59" s="3"/>
      <c r="X59" s="8">
        <f t="shared" si="52"/>
        <v>3701.95</v>
      </c>
      <c r="Y59" s="3"/>
      <c r="Z59" s="7">
        <f t="shared" si="53"/>
        <v>0</v>
      </c>
    </row>
    <row r="60" spans="1:26" s="24" customFormat="1" hidden="1" outlineLevel="2" x14ac:dyDescent="0.3">
      <c r="A60" s="27"/>
      <c r="B60" s="12" t="str">
        <f>CONCATENATE("          ", "6241", " - ", "OFFICE EXPENSE")</f>
        <v xml:space="preserve">          6241 - OFFICE EXPENSE</v>
      </c>
      <c r="C60" s="12"/>
      <c r="D60" s="8">
        <v>436.66</v>
      </c>
      <c r="E60" s="3"/>
      <c r="F60" s="7">
        <f t="shared" si="46"/>
        <v>1.8995665007058231E-2</v>
      </c>
      <c r="G60" s="3"/>
      <c r="H60" s="8"/>
      <c r="I60" s="3"/>
      <c r="J60" s="7">
        <f t="shared" si="47"/>
        <v>0</v>
      </c>
      <c r="K60" s="3"/>
      <c r="L60" s="8">
        <f t="shared" si="48"/>
        <v>436.66</v>
      </c>
      <c r="M60" s="3"/>
      <c r="N60" s="7">
        <f t="shared" si="49"/>
        <v>0</v>
      </c>
      <c r="O60" s="12"/>
      <c r="P60" s="8">
        <v>436.66</v>
      </c>
      <c r="Q60" s="3"/>
      <c r="R60" s="7">
        <f t="shared" si="50"/>
        <v>1.8995665007058231E-2</v>
      </c>
      <c r="S60" s="3"/>
      <c r="T60" s="8"/>
      <c r="U60" s="3"/>
      <c r="V60" s="7">
        <f t="shared" si="51"/>
        <v>0</v>
      </c>
      <c r="W60" s="3"/>
      <c r="X60" s="8">
        <f t="shared" si="52"/>
        <v>436.66</v>
      </c>
      <c r="Y60" s="3"/>
      <c r="Z60" s="7">
        <f t="shared" si="53"/>
        <v>0</v>
      </c>
    </row>
    <row r="61" spans="1:26" s="24" customFormat="1" hidden="1" outlineLevel="2" x14ac:dyDescent="0.3">
      <c r="A61" s="27"/>
      <c r="B61" s="12" t="str">
        <f>CONCATENATE("          ", "6243", " - ", "PAPER SUPPLIES")</f>
        <v xml:space="preserve">          6243 - PAPER SUPPLIES</v>
      </c>
      <c r="C61" s="12"/>
      <c r="D61" s="8">
        <v>1063.07</v>
      </c>
      <c r="E61" s="3"/>
      <c r="F61" s="7">
        <f t="shared" si="46"/>
        <v>4.6245870011114812E-2</v>
      </c>
      <c r="G61" s="3"/>
      <c r="H61" s="8"/>
      <c r="I61" s="3"/>
      <c r="J61" s="7">
        <f t="shared" si="47"/>
        <v>0</v>
      </c>
      <c r="K61" s="3"/>
      <c r="L61" s="8">
        <f t="shared" si="48"/>
        <v>1063.07</v>
      </c>
      <c r="M61" s="3"/>
      <c r="N61" s="7">
        <f t="shared" si="49"/>
        <v>0</v>
      </c>
      <c r="O61" s="12"/>
      <c r="P61" s="8">
        <v>1063.07</v>
      </c>
      <c r="Q61" s="3"/>
      <c r="R61" s="7">
        <f t="shared" si="50"/>
        <v>4.6245870011114812E-2</v>
      </c>
      <c r="S61" s="3"/>
      <c r="T61" s="8"/>
      <c r="U61" s="3"/>
      <c r="V61" s="7">
        <f t="shared" si="51"/>
        <v>0</v>
      </c>
      <c r="W61" s="3"/>
      <c r="X61" s="8">
        <f t="shared" si="52"/>
        <v>1063.07</v>
      </c>
      <c r="Y61" s="3"/>
      <c r="Z61" s="7">
        <f t="shared" si="53"/>
        <v>0</v>
      </c>
    </row>
    <row r="62" spans="1:26" s="29" customFormat="1" outlineLevel="1" collapsed="1" x14ac:dyDescent="0.3">
      <c r="A62" s="28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217</v>
      </c>
      <c r="E62" s="1"/>
      <c r="F62" s="5">
        <f t="shared" ref="F62:F63" si="54">IF(D$12=0,0,D62/D$12)</f>
        <v>9.4399745947227505E-3</v>
      </c>
      <c r="G62" s="1"/>
      <c r="H62" s="1">
        <f>SUM(OSRRefH22_11x_0)</f>
        <v>259</v>
      </c>
      <c r="I62" s="1"/>
      <c r="J62" s="5">
        <f t="shared" ref="J62:J63" si="55">IF(H$12=0,0,H62/H$12)</f>
        <v>0</v>
      </c>
      <c r="K62" s="1"/>
      <c r="L62" s="1">
        <f t="shared" ref="L62:L63" si="56">+D62-H62</f>
        <v>-42</v>
      </c>
      <c r="M62" s="1"/>
      <c r="N62" s="5">
        <f t="shared" ref="N62:N63" si="57">IF(H62=0,0,L62/H62)</f>
        <v>-0.16216216216216217</v>
      </c>
      <c r="O62" s="14"/>
      <c r="P62" s="1">
        <f>SUM(OSRRefP22_11x_0)</f>
        <v>217</v>
      </c>
      <c r="Q62" s="1"/>
      <c r="R62" s="5">
        <f t="shared" ref="R62:R63" si="58">IF(P$12=0,0,P62/P$12)</f>
        <v>9.4399745947227505E-3</v>
      </c>
      <c r="S62" s="1"/>
      <c r="T62" s="1">
        <f>SUM(OSRRefT22_11x_0)</f>
        <v>259</v>
      </c>
      <c r="U62" s="1"/>
      <c r="V62" s="5">
        <f t="shared" ref="V62:V63" si="59">IF(T$12=0,0,T62/T$12)</f>
        <v>0</v>
      </c>
      <c r="W62" s="1"/>
      <c r="X62" s="1">
        <f t="shared" ref="X62:X63" si="60">+P62-T62</f>
        <v>-42</v>
      </c>
      <c r="Y62" s="1"/>
      <c r="Z62" s="5">
        <f t="shared" ref="Z62:Z63" si="61">IF(T62=0,0,X62/T62)</f>
        <v>-0.16216216216216217</v>
      </c>
    </row>
    <row r="63" spans="1:26" s="24" customFormat="1" hidden="1" outlineLevel="2" x14ac:dyDescent="0.3">
      <c r="A63" s="27"/>
      <c r="B63" s="12" t="str">
        <f>CONCATENATE("          ", "6309", " - ", "TELEPHONE")</f>
        <v xml:space="preserve">          6309 - TELEPHONE</v>
      </c>
      <c r="C63" s="12"/>
      <c r="D63" s="8">
        <v>217</v>
      </c>
      <c r="E63" s="3"/>
      <c r="F63" s="7">
        <f t="shared" si="54"/>
        <v>9.4399745947227505E-3</v>
      </c>
      <c r="G63" s="3"/>
      <c r="H63" s="8">
        <v>259</v>
      </c>
      <c r="I63" s="3"/>
      <c r="J63" s="7">
        <f t="shared" si="55"/>
        <v>0</v>
      </c>
      <c r="K63" s="3"/>
      <c r="L63" s="8">
        <f t="shared" si="56"/>
        <v>-42</v>
      </c>
      <c r="M63" s="3"/>
      <c r="N63" s="7">
        <f t="shared" si="57"/>
        <v>-0.16216216216216217</v>
      </c>
      <c r="O63" s="12"/>
      <c r="P63" s="8">
        <v>217</v>
      </c>
      <c r="Q63" s="3"/>
      <c r="R63" s="7">
        <f t="shared" si="58"/>
        <v>9.4399745947227505E-3</v>
      </c>
      <c r="S63" s="3"/>
      <c r="T63" s="8">
        <v>259</v>
      </c>
      <c r="U63" s="3"/>
      <c r="V63" s="7">
        <f t="shared" si="59"/>
        <v>0</v>
      </c>
      <c r="W63" s="3"/>
      <c r="X63" s="8">
        <f t="shared" si="60"/>
        <v>-42</v>
      </c>
      <c r="Y63" s="3"/>
      <c r="Z63" s="7">
        <f t="shared" si="61"/>
        <v>-0.16216216216216217</v>
      </c>
    </row>
    <row r="64" spans="1:26" s="53" customFormat="1" x14ac:dyDescent="0.3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5" t="s">
        <v>292</v>
      </c>
      <c r="C65" s="10"/>
      <c r="D65" s="4">
        <f>SUM(0)</f>
        <v>0</v>
      </c>
      <c r="E65" s="4"/>
      <c r="F65" s="11">
        <f>IF(D$12=0,0,D65/D$12)</f>
        <v>0</v>
      </c>
      <c r="G65" s="4"/>
      <c r="H65" s="4">
        <f>SUM(0)</f>
        <v>0</v>
      </c>
      <c r="I65" s="4"/>
      <c r="J65" s="11">
        <f>IF(H$12=0,0,H65/H$12)</f>
        <v>0</v>
      </c>
      <c r="K65" s="4"/>
      <c r="L65" s="4">
        <f>+D65-H65</f>
        <v>0</v>
      </c>
      <c r="M65" s="4"/>
      <c r="N65" s="11">
        <f>IF(H65=0,0,L65/H65)</f>
        <v>0</v>
      </c>
      <c r="O65" s="10"/>
      <c r="P65" s="4">
        <f>SUM(0)</f>
        <v>0</v>
      </c>
      <c r="Q65" s="4"/>
      <c r="R65" s="11">
        <f>IF(P$12=0,0,P65/P$12)</f>
        <v>0</v>
      </c>
      <c r="S65" s="4"/>
      <c r="T65" s="4">
        <f>SUM(0)</f>
        <v>0</v>
      </c>
      <c r="U65" s="4"/>
      <c r="V65" s="11">
        <f>IF(T$12=0,0,T65/T$12)</f>
        <v>0</v>
      </c>
      <c r="W65" s="4"/>
      <c r="X65" s="4">
        <f>+P65-T65</f>
        <v>0</v>
      </c>
      <c r="Y65" s="4"/>
      <c r="Z65" s="11">
        <f>IF(T65=0,0,X65/T65)</f>
        <v>0</v>
      </c>
    </row>
    <row r="66" spans="1:26" x14ac:dyDescent="0.3">
      <c r="A66" s="9"/>
      <c r="B66" s="10"/>
      <c r="C66" s="10"/>
      <c r="D66" s="2"/>
      <c r="E66" s="2"/>
      <c r="F66" s="6"/>
      <c r="G66" s="2"/>
      <c r="H66" s="2"/>
      <c r="I66" s="2"/>
      <c r="J66" s="6"/>
      <c r="K66" s="2"/>
      <c r="L66" s="2"/>
      <c r="M66" s="2"/>
      <c r="N66" s="6"/>
      <c r="O66" s="10"/>
      <c r="P66" s="2"/>
      <c r="Q66" s="2"/>
      <c r="R66" s="6"/>
      <c r="S66" s="2"/>
      <c r="T66" s="2"/>
      <c r="U66" s="2"/>
      <c r="V66" s="6"/>
      <c r="W66" s="2"/>
      <c r="X66" s="2"/>
      <c r="Y66" s="2"/>
      <c r="Z66" s="6"/>
    </row>
    <row r="67" spans="1:26" s="23" customFormat="1" x14ac:dyDescent="0.3">
      <c r="A67" s="10"/>
      <c r="B67" s="26" t="s">
        <v>276</v>
      </c>
      <c r="C67" s="26"/>
      <c r="D67" s="20">
        <f>+D21-D23+D65</f>
        <v>-85832.24</v>
      </c>
      <c r="E67" s="13"/>
      <c r="F67" s="21">
        <f>IF(D$12=0,0,D67/D$12)</f>
        <v>-3.733890161327861</v>
      </c>
      <c r="G67" s="13"/>
      <c r="H67" s="20">
        <f>+H21-H23+H65</f>
        <v>-64552.840000000004</v>
      </c>
      <c r="I67" s="13"/>
      <c r="J67" s="21">
        <f>IF(H$12=0,0,H67/H$12)</f>
        <v>0</v>
      </c>
      <c r="K67" s="16"/>
      <c r="L67" s="20">
        <f>+D67-H67</f>
        <v>-21279.4</v>
      </c>
      <c r="M67" s="16"/>
      <c r="N67" s="21">
        <f>IF(H67=0,0,L67/H67)</f>
        <v>0.32964312646817706</v>
      </c>
      <c r="O67" s="25"/>
      <c r="P67" s="20">
        <f>+P21-P23+P65</f>
        <v>-85832.24</v>
      </c>
      <c r="Q67" s="13"/>
      <c r="R67" s="21">
        <f>IF(P$12=0,0,P67/P$12)</f>
        <v>-3.733890161327861</v>
      </c>
      <c r="S67" s="13"/>
      <c r="T67" s="20">
        <f>+T21-T23+T65</f>
        <v>-64552.840000000004</v>
      </c>
      <c r="U67" s="13"/>
      <c r="V67" s="21">
        <f>IF(T$12=0,0,T67/T$12)</f>
        <v>0</v>
      </c>
      <c r="W67" s="16"/>
      <c r="X67" s="20">
        <f>+P67-T67</f>
        <v>-21279.4</v>
      </c>
      <c r="Y67" s="16"/>
      <c r="Z67" s="21">
        <f>IF(T67=0,0,X67/T67)</f>
        <v>0.32964312646817706</v>
      </c>
    </row>
    <row r="68" spans="1:26" x14ac:dyDescent="0.3">
      <c r="A68" s="9"/>
      <c r="B68" s="10"/>
      <c r="C68" s="9"/>
      <c r="D68" s="2"/>
      <c r="E68" s="2"/>
      <c r="F68" s="6"/>
      <c r="G68" s="2"/>
      <c r="H68" s="2"/>
      <c r="I68" s="2"/>
      <c r="J68" s="6"/>
      <c r="K68" s="2"/>
      <c r="L68" s="2"/>
      <c r="M68" s="2"/>
      <c r="N68" s="6"/>
      <c r="P68" s="2"/>
      <c r="Q68" s="2"/>
      <c r="R68" s="6"/>
      <c r="S68" s="2"/>
      <c r="T68" s="2"/>
      <c r="U68" s="2"/>
      <c r="V68" s="6"/>
      <c r="W68" s="2"/>
      <c r="X68" s="2"/>
      <c r="Y68" s="2"/>
      <c r="Z68" s="6"/>
    </row>
    <row r="69" spans="1:26" s="23" customFormat="1" x14ac:dyDescent="0.3">
      <c r="A69" s="51"/>
      <c r="B69" s="10" t="s">
        <v>127</v>
      </c>
      <c r="C69" s="10"/>
      <c r="D69" s="4">
        <v>10620.07</v>
      </c>
      <c r="E69" s="4"/>
      <c r="F69" s="11">
        <f>IF(D$12=0,0,D69/D$12)</f>
        <v>0.46199627186256792</v>
      </c>
      <c r="G69" s="4"/>
      <c r="H69" s="4"/>
      <c r="I69" s="4"/>
      <c r="J69" s="11">
        <f>IF(H$12=0,0,H69/H$12)</f>
        <v>0</v>
      </c>
      <c r="K69" s="4"/>
      <c r="L69" s="4">
        <f>+D69-H69</f>
        <v>10620.07</v>
      </c>
      <c r="M69" s="4"/>
      <c r="N69" s="11">
        <f>IF(H69=0,0,L69/H69)</f>
        <v>0</v>
      </c>
      <c r="O69" s="10"/>
      <c r="P69" s="4">
        <v>10620.07</v>
      </c>
      <c r="Q69" s="4"/>
      <c r="R69" s="11">
        <f>IF(P$12=0,0,P69/P$12)</f>
        <v>0.46199627186256792</v>
      </c>
      <c r="S69" s="4"/>
      <c r="T69" s="4"/>
      <c r="U69" s="4"/>
      <c r="V69" s="11">
        <f>IF(T$12=0,0,T69/T$12)</f>
        <v>0</v>
      </c>
      <c r="W69" s="4"/>
      <c r="X69" s="4">
        <f>+P69-T69</f>
        <v>10620.07</v>
      </c>
      <c r="Y69" s="4"/>
      <c r="Z69" s="11">
        <f>IF(T69=0,0,X69/T69)</f>
        <v>0</v>
      </c>
    </row>
    <row r="70" spans="1:26" x14ac:dyDescent="0.3">
      <c r="A70" s="9"/>
      <c r="B70" s="10"/>
      <c r="C70" s="10"/>
      <c r="D70" s="2"/>
      <c r="E70" s="2"/>
      <c r="F70" s="6"/>
      <c r="G70" s="2"/>
      <c r="H70" s="2"/>
      <c r="I70" s="2"/>
      <c r="J70" s="6"/>
      <c r="K70" s="2"/>
      <c r="L70" s="2"/>
      <c r="M70" s="2"/>
      <c r="N70" s="6"/>
      <c r="O70" s="10"/>
      <c r="P70" s="2"/>
      <c r="Q70" s="2"/>
      <c r="R70" s="6"/>
      <c r="S70" s="2"/>
      <c r="T70" s="2"/>
      <c r="U70" s="2"/>
      <c r="V70" s="6"/>
      <c r="W70" s="2"/>
      <c r="X70" s="2"/>
      <c r="Y70" s="2"/>
      <c r="Z70" s="6"/>
    </row>
    <row r="71" spans="1:26" s="23" customFormat="1" ht="15" thickBot="1" x14ac:dyDescent="0.35">
      <c r="A71" s="10"/>
      <c r="B71" s="26" t="s">
        <v>125</v>
      </c>
      <c r="C71" s="26"/>
      <c r="D71" s="36">
        <f>+D67-D69</f>
        <v>-96452.31</v>
      </c>
      <c r="E71" s="13"/>
      <c r="F71" s="34">
        <f>IF(D$12=0,0,D71/D$12)</f>
        <v>-4.1958864331904291</v>
      </c>
      <c r="G71" s="13"/>
      <c r="H71" s="36">
        <f>+H67-H69</f>
        <v>-64552.840000000004</v>
      </c>
      <c r="I71" s="13"/>
      <c r="J71" s="34">
        <f>IF(H$12=0,0,H71/H$12)</f>
        <v>0</v>
      </c>
      <c r="K71" s="16"/>
      <c r="L71" s="36">
        <f>D71-H71</f>
        <v>-31899.469999999994</v>
      </c>
      <c r="M71" s="16"/>
      <c r="N71" s="34">
        <f>IF(H71=0,0,L71/H71)</f>
        <v>0.49416059773667576</v>
      </c>
      <c r="O71" s="25"/>
      <c r="P71" s="36">
        <f>+P67-P69</f>
        <v>-96452.31</v>
      </c>
      <c r="Q71" s="13"/>
      <c r="R71" s="34">
        <f>IF(P$12=0,0,P71/P$12)</f>
        <v>-4.1958864331904291</v>
      </c>
      <c r="S71" s="13"/>
      <c r="T71" s="36">
        <f>+T67-T69</f>
        <v>-64552.840000000004</v>
      </c>
      <c r="U71" s="13"/>
      <c r="V71" s="34">
        <f>IF(T$12=0,0,T71/T$12)</f>
        <v>0</v>
      </c>
      <c r="W71" s="16"/>
      <c r="X71" s="36">
        <f>P71-T71</f>
        <v>-31899.469999999994</v>
      </c>
      <c r="Y71" s="16"/>
      <c r="Z71" s="34">
        <f>IF(T71=0,0,X71/T71)</f>
        <v>0.49416059773667576</v>
      </c>
    </row>
    <row r="72" spans="1:26" ht="15" thickTop="1" x14ac:dyDescent="0.3">
      <c r="A72" s="9"/>
      <c r="B72" s="9"/>
      <c r="C72" s="9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x14ac:dyDescent="0.3">
      <c r="A73" s="9"/>
      <c r="B73" s="9"/>
      <c r="C73" s="9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23" customFormat="1" ht="15" thickBot="1" x14ac:dyDescent="0.35">
      <c r="A74" s="10"/>
      <c r="B74" s="26" t="s">
        <v>293</v>
      </c>
      <c r="C74" s="26"/>
      <c r="D74" s="31">
        <f>SUM(D71:D73)</f>
        <v>-96452.31</v>
      </c>
      <c r="E74" s="13"/>
      <c r="F74" s="33">
        <f>IF(D$12=0,0,D74/D$12)</f>
        <v>-4.1958864331904291</v>
      </c>
      <c r="G74" s="13"/>
      <c r="H74" s="31">
        <f>SUM(H71:H73)</f>
        <v>-64552.840000000004</v>
      </c>
      <c r="I74" s="13"/>
      <c r="J74" s="33">
        <f>IF(H$12=0,0,H74/H$12)</f>
        <v>0</v>
      </c>
      <c r="K74" s="16"/>
      <c r="L74" s="31">
        <f>+D74-H74</f>
        <v>-31899.469999999994</v>
      </c>
      <c r="M74" s="16"/>
      <c r="N74" s="33">
        <f>IF(H74=0,0,L74/H74)</f>
        <v>0.49416059773667576</v>
      </c>
      <c r="O74" s="25"/>
      <c r="P74" s="31">
        <f>SUM(P71:P73)</f>
        <v>-96452.31</v>
      </c>
      <c r="Q74" s="13"/>
      <c r="R74" s="33">
        <f>IF(P$12=0,0,P74/P$12)</f>
        <v>-4.1958864331904291</v>
      </c>
      <c r="S74" s="13"/>
      <c r="T74" s="31">
        <f>SUM(T71:T73)</f>
        <v>-64552.840000000004</v>
      </c>
      <c r="U74" s="13"/>
      <c r="V74" s="33">
        <f>IF(T$12=0,0,T74/T$12)</f>
        <v>0</v>
      </c>
      <c r="W74" s="16"/>
      <c r="X74" s="31">
        <f>+P74-T74</f>
        <v>-31899.469999999994</v>
      </c>
      <c r="Y74" s="16"/>
      <c r="Z74" s="33">
        <f>IF(T74=0,0,X74/T74)</f>
        <v>0.49416059773667576</v>
      </c>
    </row>
    <row r="75" spans="1:26" ht="15" thickTop="1" x14ac:dyDescent="0.3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3">
      <c r="A76" s="9"/>
      <c r="B76" s="59">
        <v>44462.666945868055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3">
      <c r="A77" s="9"/>
      <c r="B77" s="57" t="s">
        <v>56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3">
      <c r="A78" s="9"/>
      <c r="B78" s="61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3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x14ac:dyDescent="0.3">
      <c r="A12" s="10"/>
      <c r="B12" s="25" t="s">
        <v>139</v>
      </c>
      <c r="C12" s="10"/>
      <c r="D12" s="4">
        <f>SUM(0)</f>
        <v>0</v>
      </c>
      <c r="E12" s="4"/>
      <c r="F12" s="11"/>
      <c r="G12" s="4"/>
      <c r="H12" s="4">
        <f>SUM(0)</f>
        <v>0</v>
      </c>
      <c r="I12" s="4"/>
      <c r="J12" s="11"/>
      <c r="K12" s="4"/>
      <c r="L12" s="4">
        <f>+D12-H12</f>
        <v>0</v>
      </c>
      <c r="M12" s="4"/>
      <c r="N12" s="11">
        <f>IF(H12=0,0,L12/H12)</f>
        <v>0</v>
      </c>
      <c r="O12" s="10"/>
      <c r="P12" s="4">
        <f>SUM(0)</f>
        <v>0</v>
      </c>
      <c r="Q12" s="4"/>
      <c r="R12" s="11"/>
      <c r="S12" s="4"/>
      <c r="T12" s="4">
        <f>SUM(0)</f>
        <v>0</v>
      </c>
      <c r="U12" s="4"/>
      <c r="V12" s="11"/>
      <c r="W12" s="4"/>
      <c r="X12" s="4">
        <f>+P12-T12</f>
        <v>0</v>
      </c>
      <c r="Y12" s="4"/>
      <c r="Z12" s="11">
        <f>IF(T12=0,0,X12/T12)</f>
        <v>0</v>
      </c>
    </row>
    <row r="13" spans="1:26" x14ac:dyDescent="0.3">
      <c r="A13" s="9"/>
      <c r="B13" s="10"/>
      <c r="C13" s="9"/>
      <c r="D13" s="2"/>
      <c r="E13" s="2"/>
      <c r="F13" s="6"/>
      <c r="G13" s="2"/>
      <c r="H13" s="2"/>
      <c r="I13" s="2"/>
      <c r="J13" s="6"/>
      <c r="K13" s="2"/>
      <c r="L13" s="2"/>
      <c r="M13" s="2"/>
      <c r="N13" s="6"/>
      <c r="P13" s="2"/>
      <c r="Q13" s="2"/>
      <c r="R13" s="6"/>
      <c r="S13" s="2"/>
      <c r="T13" s="2"/>
      <c r="U13" s="2"/>
      <c r="V13" s="6"/>
      <c r="W13" s="2"/>
      <c r="X13" s="2"/>
      <c r="Y13" s="2"/>
      <c r="Z13" s="6"/>
    </row>
    <row r="14" spans="1:26" s="23" customFormat="1" x14ac:dyDescent="0.3">
      <c r="A14" s="10"/>
      <c r="B14" s="25" t="s">
        <v>256</v>
      </c>
      <c r="C14" s="10"/>
      <c r="D14" s="4">
        <f>SUM(0)</f>
        <v>0</v>
      </c>
      <c r="E14" s="4"/>
      <c r="F14" s="11">
        <f>IF(D$12=0,0,D14/D$12)</f>
        <v>0</v>
      </c>
      <c r="G14" s="4"/>
      <c r="H14" s="4">
        <f>SUM(0)</f>
        <v>0</v>
      </c>
      <c r="I14" s="4"/>
      <c r="J14" s="11">
        <f>IF(H$12=0,0,H14/H$12)</f>
        <v>0</v>
      </c>
      <c r="K14" s="4"/>
      <c r="L14" s="4">
        <f>+D14-H14</f>
        <v>0</v>
      </c>
      <c r="M14" s="4"/>
      <c r="N14" s="11">
        <f>IF(H14=0,0,L14/H14)</f>
        <v>0</v>
      </c>
      <c r="O14" s="10"/>
      <c r="P14" s="4">
        <f>SUM(0)</f>
        <v>0</v>
      </c>
      <c r="Q14" s="4"/>
      <c r="R14" s="11">
        <f>IF(P$12=0,0,P14/P$12)</f>
        <v>0</v>
      </c>
      <c r="S14" s="4"/>
      <c r="T14" s="4">
        <f>SUM(0)</f>
        <v>0</v>
      </c>
      <c r="U14" s="4"/>
      <c r="V14" s="11">
        <f>IF(T$12=0,0,T14/T$12)</f>
        <v>0</v>
      </c>
      <c r="W14" s="4"/>
      <c r="X14" s="4">
        <f>+P14-T14</f>
        <v>0</v>
      </c>
      <c r="Y14" s="4"/>
      <c r="Z14" s="11">
        <f>IF(T14=0,0,X14/T14)</f>
        <v>0</v>
      </c>
    </row>
    <row r="15" spans="1:26" x14ac:dyDescent="0.3">
      <c r="A15" s="9"/>
      <c r="B15" s="10"/>
      <c r="C15" s="10"/>
      <c r="D15" s="2"/>
      <c r="E15" s="2"/>
      <c r="F15" s="6"/>
      <c r="G15" s="2"/>
      <c r="H15" s="2"/>
      <c r="I15" s="2"/>
      <c r="J15" s="6"/>
      <c r="K15" s="2"/>
      <c r="L15" s="2"/>
      <c r="M15" s="2"/>
      <c r="N15" s="6"/>
      <c r="O15" s="10"/>
      <c r="P15" s="2"/>
      <c r="Q15" s="2"/>
      <c r="R15" s="6"/>
      <c r="S15" s="2"/>
      <c r="T15" s="2"/>
      <c r="U15" s="2"/>
      <c r="V15" s="6"/>
      <c r="W15" s="2"/>
      <c r="X15" s="2"/>
      <c r="Y15" s="2"/>
      <c r="Z15" s="6"/>
    </row>
    <row r="16" spans="1:26" s="23" customFormat="1" x14ac:dyDescent="0.3">
      <c r="A16" s="10"/>
      <c r="B16" s="26" t="s">
        <v>107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294</v>
      </c>
      <c r="C18" s="10"/>
      <c r="D18" s="19">
        <f>SUM(OSRRefD22x_0)</f>
        <v>40764.729999999996</v>
      </c>
      <c r="E18" s="19"/>
      <c r="F18" s="35">
        <f t="shared" ref="F18:F28" si="0">IF(D$12=0,0,D18/D$12)</f>
        <v>0</v>
      </c>
      <c r="G18" s="19"/>
      <c r="H18" s="19">
        <f>SUM(OSRRefH22x_0)</f>
        <v>40360.14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404.58999999999651</v>
      </c>
      <c r="M18" s="4"/>
      <c r="N18" s="35">
        <f t="shared" ref="N18:N28" si="3">IF(H18=0,0,L18/H18)</f>
        <v>1.0024494464092456E-2</v>
      </c>
      <c r="O18" s="10"/>
      <c r="P18" s="19">
        <f>SUM(OSRRefP22x_0)</f>
        <v>40764.729999999996</v>
      </c>
      <c r="Q18" s="19"/>
      <c r="R18" s="35">
        <f t="shared" ref="R18:R28" si="4">IF(P$12=0,0,P18/P$12)</f>
        <v>0</v>
      </c>
      <c r="S18" s="19"/>
      <c r="T18" s="19">
        <f>SUM(OSRRefT22x_0)</f>
        <v>40360.14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404.58999999999651</v>
      </c>
      <c r="Y18" s="4"/>
      <c r="Z18" s="35">
        <f t="shared" ref="Z18:Z28" si="7">IF(T18=0,0,X18/T18)</f>
        <v>1.0024494464092456E-2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18504.859999999997</v>
      </c>
      <c r="E19" s="1"/>
      <c r="F19" s="5">
        <f t="shared" si="0"/>
        <v>0</v>
      </c>
      <c r="G19" s="1"/>
      <c r="H19" s="1">
        <f>SUM(OSRRefH22_0x_0)</f>
        <v>19179.73</v>
      </c>
      <c r="I19" s="1"/>
      <c r="J19" s="5">
        <f t="shared" si="1"/>
        <v>0</v>
      </c>
      <c r="K19" s="1"/>
      <c r="L19" s="1">
        <f t="shared" si="2"/>
        <v>-674.87000000000262</v>
      </c>
      <c r="M19" s="1"/>
      <c r="N19" s="5">
        <f t="shared" si="3"/>
        <v>-3.5186626714766196E-2</v>
      </c>
      <c r="O19" s="14"/>
      <c r="P19" s="1">
        <f>SUM(OSRRefP22_0x_0)</f>
        <v>18504.859999999997</v>
      </c>
      <c r="Q19" s="1"/>
      <c r="R19" s="5">
        <f t="shared" si="4"/>
        <v>0</v>
      </c>
      <c r="S19" s="1"/>
      <c r="T19" s="1">
        <f>SUM(OSRRefT22_0x_0)</f>
        <v>19179.73</v>
      </c>
      <c r="U19" s="1"/>
      <c r="V19" s="5">
        <f t="shared" si="5"/>
        <v>0</v>
      </c>
      <c r="W19" s="1"/>
      <c r="X19" s="1">
        <f t="shared" si="6"/>
        <v>-674.87000000000262</v>
      </c>
      <c r="Y19" s="1"/>
      <c r="Z19" s="5">
        <f t="shared" si="7"/>
        <v>-3.5186626714766196E-2</v>
      </c>
    </row>
    <row r="20" spans="1:26" s="24" customFormat="1" hidden="1" outlineLevel="2" x14ac:dyDescent="0.3">
      <c r="A20" s="27"/>
      <c r="B20" s="12" t="str">
        <f>CONCATENATE("          ", "6111", " - ", "F.I.C.A.")</f>
        <v xml:space="preserve">          6111 - F.I.C.A.</v>
      </c>
      <c r="C20" s="12"/>
      <c r="D20" s="8">
        <v>1377.24</v>
      </c>
      <c r="E20" s="3"/>
      <c r="F20" s="7">
        <f t="shared" si="0"/>
        <v>0</v>
      </c>
      <c r="G20" s="3"/>
      <c r="H20" s="8">
        <v>1327.41</v>
      </c>
      <c r="I20" s="3"/>
      <c r="J20" s="7">
        <f t="shared" si="1"/>
        <v>0</v>
      </c>
      <c r="K20" s="3"/>
      <c r="L20" s="8">
        <f t="shared" si="2"/>
        <v>49.829999999999927</v>
      </c>
      <c r="M20" s="3"/>
      <c r="N20" s="7">
        <f t="shared" si="3"/>
        <v>3.7539268198973887E-2</v>
      </c>
      <c r="O20" s="12"/>
      <c r="P20" s="8">
        <v>1377.24</v>
      </c>
      <c r="Q20" s="3"/>
      <c r="R20" s="7">
        <f t="shared" si="4"/>
        <v>0</v>
      </c>
      <c r="S20" s="3"/>
      <c r="T20" s="8">
        <v>1327.41</v>
      </c>
      <c r="U20" s="3"/>
      <c r="V20" s="7">
        <f t="shared" si="5"/>
        <v>0</v>
      </c>
      <c r="W20" s="3"/>
      <c r="X20" s="8">
        <f t="shared" si="6"/>
        <v>49.829999999999927</v>
      </c>
      <c r="Y20" s="3"/>
      <c r="Z20" s="7">
        <f t="shared" si="7"/>
        <v>3.7539268198973887E-2</v>
      </c>
    </row>
    <row r="21" spans="1:26" s="24" customFormat="1" hidden="1" outlineLevel="2" x14ac:dyDescent="0.3">
      <c r="A21" s="27"/>
      <c r="B21" s="12" t="str">
        <f>CONCATENATE("          ", "6112", " - ", "COMPENSATION INSURANCE")</f>
        <v xml:space="preserve">          6112 - COMPENSATION INSURANCE</v>
      </c>
      <c r="C21" s="12"/>
      <c r="D21" s="8">
        <v>646.99</v>
      </c>
      <c r="E21" s="3"/>
      <c r="F21" s="7">
        <f t="shared" si="0"/>
        <v>0</v>
      </c>
      <c r="G21" s="3"/>
      <c r="H21" s="8">
        <v>727.63</v>
      </c>
      <c r="I21" s="3"/>
      <c r="J21" s="7">
        <f t="shared" si="1"/>
        <v>0</v>
      </c>
      <c r="K21" s="3"/>
      <c r="L21" s="8">
        <f t="shared" si="2"/>
        <v>-80.639999999999986</v>
      </c>
      <c r="M21" s="3"/>
      <c r="N21" s="7">
        <f t="shared" si="3"/>
        <v>-0.11082555694515067</v>
      </c>
      <c r="O21" s="12"/>
      <c r="P21" s="8">
        <v>646.99</v>
      </c>
      <c r="Q21" s="3"/>
      <c r="R21" s="7">
        <f t="shared" si="4"/>
        <v>0</v>
      </c>
      <c r="S21" s="3"/>
      <c r="T21" s="8">
        <v>727.63</v>
      </c>
      <c r="U21" s="3"/>
      <c r="V21" s="7">
        <f t="shared" si="5"/>
        <v>0</v>
      </c>
      <c r="W21" s="3"/>
      <c r="X21" s="8">
        <f t="shared" si="6"/>
        <v>-80.639999999999986</v>
      </c>
      <c r="Y21" s="3"/>
      <c r="Z21" s="7">
        <f t="shared" si="7"/>
        <v>-0.11082555694515067</v>
      </c>
    </row>
    <row r="22" spans="1:26" s="24" customFormat="1" hidden="1" outlineLevel="2" x14ac:dyDescent="0.3">
      <c r="A22" s="27"/>
      <c r="B22" s="12" t="str">
        <f>CONCATENATE("          ", "6113", " - ", "GROUP INSURANCE")</f>
        <v xml:space="preserve">          6113 - GROUP INSURANCE</v>
      </c>
      <c r="C22" s="12"/>
      <c r="D22" s="8">
        <v>12451.67</v>
      </c>
      <c r="E22" s="3"/>
      <c r="F22" s="7">
        <f t="shared" si="0"/>
        <v>0</v>
      </c>
      <c r="G22" s="3"/>
      <c r="H22" s="8">
        <v>12616.96</v>
      </c>
      <c r="I22" s="3"/>
      <c r="J22" s="7">
        <f t="shared" si="1"/>
        <v>0</v>
      </c>
      <c r="K22" s="3"/>
      <c r="L22" s="8">
        <f t="shared" si="2"/>
        <v>-165.28999999999905</v>
      </c>
      <c r="M22" s="3"/>
      <c r="N22" s="7">
        <f t="shared" si="3"/>
        <v>-1.3100620117682791E-2</v>
      </c>
      <c r="O22" s="12"/>
      <c r="P22" s="8">
        <v>12451.67</v>
      </c>
      <c r="Q22" s="3"/>
      <c r="R22" s="7">
        <f t="shared" si="4"/>
        <v>0</v>
      </c>
      <c r="S22" s="3"/>
      <c r="T22" s="8">
        <v>12616.96</v>
      </c>
      <c r="U22" s="3"/>
      <c r="V22" s="7">
        <f t="shared" si="5"/>
        <v>0</v>
      </c>
      <c r="W22" s="3"/>
      <c r="X22" s="8">
        <f t="shared" si="6"/>
        <v>-165.28999999999905</v>
      </c>
      <c r="Y22" s="3"/>
      <c r="Z22" s="7">
        <f t="shared" si="7"/>
        <v>-1.3100620117682791E-2</v>
      </c>
    </row>
    <row r="23" spans="1:26" s="24" customFormat="1" hidden="1" outlineLevel="2" x14ac:dyDescent="0.3">
      <c r="A23" s="27"/>
      <c r="B23" s="12" t="str">
        <f>CONCATENATE("          ", "6114", " - ", "STATE UNEMPLOYMENT INSURANCE")</f>
        <v xml:space="preserve">          6114 - STATE UNEMPLOYMENT INSURANCE</v>
      </c>
      <c r="C23" s="12"/>
      <c r="D23" s="8">
        <v>46.73</v>
      </c>
      <c r="E23" s="3"/>
      <c r="F23" s="7">
        <f t="shared" si="0"/>
        <v>0</v>
      </c>
      <c r="G23" s="3"/>
      <c r="H23" s="8">
        <v>48.13</v>
      </c>
      <c r="I23" s="3"/>
      <c r="J23" s="7">
        <f t="shared" si="1"/>
        <v>0</v>
      </c>
      <c r="K23" s="3"/>
      <c r="L23" s="8">
        <f t="shared" si="2"/>
        <v>-1.4000000000000057</v>
      </c>
      <c r="M23" s="3"/>
      <c r="N23" s="7">
        <f t="shared" si="3"/>
        <v>-2.9087886972782164E-2</v>
      </c>
      <c r="O23" s="12"/>
      <c r="P23" s="8">
        <v>46.73</v>
      </c>
      <c r="Q23" s="3"/>
      <c r="R23" s="7">
        <f t="shared" si="4"/>
        <v>0</v>
      </c>
      <c r="S23" s="3"/>
      <c r="T23" s="8">
        <v>48.13</v>
      </c>
      <c r="U23" s="3"/>
      <c r="V23" s="7">
        <f t="shared" si="5"/>
        <v>0</v>
      </c>
      <c r="W23" s="3"/>
      <c r="X23" s="8">
        <f t="shared" si="6"/>
        <v>-1.4000000000000057</v>
      </c>
      <c r="Y23" s="3"/>
      <c r="Z23" s="7">
        <f t="shared" si="7"/>
        <v>-2.9087886972782164E-2</v>
      </c>
    </row>
    <row r="24" spans="1:26" s="24" customFormat="1" hidden="1" outlineLevel="2" x14ac:dyDescent="0.3">
      <c r="A24" s="27"/>
      <c r="B24" s="12" t="str">
        <f>CONCATENATE("          ", "6115", " - ", "P.E.R.S.")</f>
        <v xml:space="preserve">          6115 - P.E.R.S.</v>
      </c>
      <c r="C24" s="12"/>
      <c r="D24" s="8">
        <v>487.42</v>
      </c>
      <c r="E24" s="3"/>
      <c r="F24" s="7">
        <f t="shared" si="0"/>
        <v>0</v>
      </c>
      <c r="G24" s="3"/>
      <c r="H24" s="8">
        <v>727.6</v>
      </c>
      <c r="I24" s="3"/>
      <c r="J24" s="7">
        <f t="shared" si="1"/>
        <v>0</v>
      </c>
      <c r="K24" s="3"/>
      <c r="L24" s="8">
        <f t="shared" si="2"/>
        <v>-240.18</v>
      </c>
      <c r="M24" s="3"/>
      <c r="N24" s="7">
        <f t="shared" si="3"/>
        <v>-0.33009895547003848</v>
      </c>
      <c r="O24" s="12"/>
      <c r="P24" s="8">
        <v>487.42</v>
      </c>
      <c r="Q24" s="3"/>
      <c r="R24" s="7">
        <f t="shared" si="4"/>
        <v>0</v>
      </c>
      <c r="S24" s="3"/>
      <c r="T24" s="8">
        <v>727.6</v>
      </c>
      <c r="U24" s="3"/>
      <c r="V24" s="7">
        <f t="shared" si="5"/>
        <v>0</v>
      </c>
      <c r="W24" s="3"/>
      <c r="X24" s="8">
        <f t="shared" si="6"/>
        <v>-240.18</v>
      </c>
      <c r="Y24" s="3"/>
      <c r="Z24" s="7">
        <f t="shared" si="7"/>
        <v>-0.33009895547003848</v>
      </c>
    </row>
    <row r="25" spans="1:26" s="24" customFormat="1" hidden="1" outlineLevel="2" x14ac:dyDescent="0.3">
      <c r="A25" s="27"/>
      <c r="B25" s="12" t="str">
        <f>CONCATENATE("          ", "6117", " - ", "RETIREMENT STAFF HOURLY")</f>
        <v xml:space="preserve">          6117 - RETIREMENT STAFF HOURLY</v>
      </c>
      <c r="C25" s="12"/>
      <c r="D25" s="8">
        <v>512.19000000000005</v>
      </c>
      <c r="E25" s="3"/>
      <c r="F25" s="7">
        <f t="shared" si="0"/>
        <v>0</v>
      </c>
      <c r="G25" s="3"/>
      <c r="H25" s="8">
        <v>691.86</v>
      </c>
      <c r="I25" s="3"/>
      <c r="J25" s="7">
        <f t="shared" si="1"/>
        <v>0</v>
      </c>
      <c r="K25" s="3"/>
      <c r="L25" s="8">
        <f t="shared" si="2"/>
        <v>-179.66999999999996</v>
      </c>
      <c r="M25" s="3"/>
      <c r="N25" s="7">
        <f t="shared" si="3"/>
        <v>-0.25969126701933909</v>
      </c>
      <c r="O25" s="12"/>
      <c r="P25" s="8">
        <v>512.19000000000005</v>
      </c>
      <c r="Q25" s="3"/>
      <c r="R25" s="7">
        <f t="shared" si="4"/>
        <v>0</v>
      </c>
      <c r="S25" s="3"/>
      <c r="T25" s="8">
        <v>691.86</v>
      </c>
      <c r="U25" s="3"/>
      <c r="V25" s="7">
        <f t="shared" si="5"/>
        <v>0</v>
      </c>
      <c r="W25" s="3"/>
      <c r="X25" s="8">
        <f t="shared" si="6"/>
        <v>-179.66999999999996</v>
      </c>
      <c r="Y25" s="3"/>
      <c r="Z25" s="7">
        <f t="shared" si="7"/>
        <v>-0.25969126701933909</v>
      </c>
    </row>
    <row r="26" spans="1:26" s="24" customFormat="1" hidden="1" outlineLevel="2" x14ac:dyDescent="0.3">
      <c r="A26" s="27"/>
      <c r="B26" s="12" t="str">
        <f>CONCATENATE("          ", "6118", " - ", "VACATION")</f>
        <v xml:space="preserve">          6118 - VACATION</v>
      </c>
      <c r="C26" s="12"/>
      <c r="D26" s="8">
        <v>1260.5899999999999</v>
      </c>
      <c r="E26" s="3"/>
      <c r="F26" s="7">
        <f t="shared" si="0"/>
        <v>0</v>
      </c>
      <c r="G26" s="3"/>
      <c r="H26" s="8">
        <v>1199.6199999999999</v>
      </c>
      <c r="I26" s="3"/>
      <c r="J26" s="7">
        <f t="shared" si="1"/>
        <v>0</v>
      </c>
      <c r="K26" s="3"/>
      <c r="L26" s="8">
        <f t="shared" si="2"/>
        <v>60.970000000000027</v>
      </c>
      <c r="M26" s="3"/>
      <c r="N26" s="7">
        <f t="shared" si="3"/>
        <v>5.0824427735449589E-2</v>
      </c>
      <c r="O26" s="12"/>
      <c r="P26" s="8">
        <v>1260.5899999999999</v>
      </c>
      <c r="Q26" s="3"/>
      <c r="R26" s="7">
        <f t="shared" si="4"/>
        <v>0</v>
      </c>
      <c r="S26" s="3"/>
      <c r="T26" s="8">
        <v>1199.6199999999999</v>
      </c>
      <c r="U26" s="3"/>
      <c r="V26" s="7">
        <f t="shared" si="5"/>
        <v>0</v>
      </c>
      <c r="W26" s="3"/>
      <c r="X26" s="8">
        <f t="shared" si="6"/>
        <v>60.970000000000027</v>
      </c>
      <c r="Y26" s="3"/>
      <c r="Z26" s="7">
        <f t="shared" si="7"/>
        <v>5.0824427735449589E-2</v>
      </c>
    </row>
    <row r="27" spans="1:26" s="24" customFormat="1" hidden="1" outlineLevel="2" x14ac:dyDescent="0.3">
      <c r="A27" s="27"/>
      <c r="B27" s="12" t="str">
        <f>CONCATENATE("          ", "6119", " - ", "SICK LEAVE")</f>
        <v xml:space="preserve">          6119 - SICK LEAVE</v>
      </c>
      <c r="C27" s="12"/>
      <c r="D27" s="8">
        <v>961.41</v>
      </c>
      <c r="E27" s="3"/>
      <c r="F27" s="7">
        <f t="shared" si="0"/>
        <v>0</v>
      </c>
      <c r="G27" s="3"/>
      <c r="H27" s="8">
        <v>946.52</v>
      </c>
      <c r="I27" s="3"/>
      <c r="J27" s="7">
        <f t="shared" si="1"/>
        <v>0</v>
      </c>
      <c r="K27" s="3"/>
      <c r="L27" s="8">
        <f t="shared" si="2"/>
        <v>14.889999999999986</v>
      </c>
      <c r="M27" s="3"/>
      <c r="N27" s="7">
        <f t="shared" si="3"/>
        <v>1.5731310484722972E-2</v>
      </c>
      <c r="O27" s="12"/>
      <c r="P27" s="8">
        <v>961.41</v>
      </c>
      <c r="Q27" s="3"/>
      <c r="R27" s="7">
        <f t="shared" si="4"/>
        <v>0</v>
      </c>
      <c r="S27" s="3"/>
      <c r="T27" s="8">
        <v>946.52</v>
      </c>
      <c r="U27" s="3"/>
      <c r="V27" s="7">
        <f t="shared" si="5"/>
        <v>0</v>
      </c>
      <c r="W27" s="3"/>
      <c r="X27" s="8">
        <f t="shared" si="6"/>
        <v>14.889999999999986</v>
      </c>
      <c r="Y27" s="3"/>
      <c r="Z27" s="7">
        <f t="shared" si="7"/>
        <v>1.5731310484722972E-2</v>
      </c>
    </row>
    <row r="28" spans="1:26" s="24" customFormat="1" hidden="1" outlineLevel="2" x14ac:dyDescent="0.3">
      <c r="A28" s="27"/>
      <c r="B28" s="12" t="str">
        <f>CONCATENATE("          ", "6156", " - ", "EMPLOYEE MEALS")</f>
        <v xml:space="preserve">          6156 - EMPLOYEE MEALS</v>
      </c>
      <c r="C28" s="12"/>
      <c r="D28" s="8">
        <v>760.62</v>
      </c>
      <c r="E28" s="3"/>
      <c r="F28" s="7">
        <f t="shared" si="0"/>
        <v>0</v>
      </c>
      <c r="G28" s="3"/>
      <c r="H28" s="8">
        <v>894</v>
      </c>
      <c r="I28" s="3"/>
      <c r="J28" s="7">
        <f t="shared" si="1"/>
        <v>0</v>
      </c>
      <c r="K28" s="3"/>
      <c r="L28" s="8">
        <f t="shared" si="2"/>
        <v>-133.38</v>
      </c>
      <c r="M28" s="3"/>
      <c r="N28" s="7">
        <f t="shared" si="3"/>
        <v>-0.14919463087248322</v>
      </c>
      <c r="O28" s="12"/>
      <c r="P28" s="8">
        <v>760.62</v>
      </c>
      <c r="Q28" s="3"/>
      <c r="R28" s="7">
        <f t="shared" si="4"/>
        <v>0</v>
      </c>
      <c r="S28" s="3"/>
      <c r="T28" s="8">
        <v>894</v>
      </c>
      <c r="U28" s="3"/>
      <c r="V28" s="7">
        <f t="shared" si="5"/>
        <v>0</v>
      </c>
      <c r="W28" s="3"/>
      <c r="X28" s="8">
        <f t="shared" si="6"/>
        <v>-133.38</v>
      </c>
      <c r="Y28" s="3"/>
      <c r="Z28" s="7">
        <f t="shared" si="7"/>
        <v>-0.14919463087248322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19517.169999999998</v>
      </c>
      <c r="E29" s="1"/>
      <c r="F29" s="5">
        <f t="shared" ref="F29:F32" si="8">IF(D$12=0,0,D29/D$12)</f>
        <v>0</v>
      </c>
      <c r="G29" s="1"/>
      <c r="H29" s="1">
        <f>SUM(OSRRefH22_1x_0)</f>
        <v>18743.3</v>
      </c>
      <c r="I29" s="1"/>
      <c r="J29" s="5">
        <f t="shared" ref="J29:J32" si="9">IF(H$12=0,0,H29/H$12)</f>
        <v>0</v>
      </c>
      <c r="K29" s="1"/>
      <c r="L29" s="1">
        <f t="shared" ref="L29:L32" si="10">+D29-H29</f>
        <v>773.86999999999898</v>
      </c>
      <c r="M29" s="1"/>
      <c r="N29" s="5">
        <f t="shared" ref="N29:N32" si="11">IF(H29=0,0,L29/H29)</f>
        <v>4.1287820181077989E-2</v>
      </c>
      <c r="O29" s="14"/>
      <c r="P29" s="1">
        <f>SUM(OSRRefP22_1x_0)</f>
        <v>19517.169999999998</v>
      </c>
      <c r="Q29" s="1"/>
      <c r="R29" s="5">
        <f t="shared" ref="R29:R32" si="12">IF(P$12=0,0,P29/P$12)</f>
        <v>0</v>
      </c>
      <c r="S29" s="1"/>
      <c r="T29" s="1">
        <f>SUM(OSRRefT22_1x_0)</f>
        <v>18743.3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773.86999999999898</v>
      </c>
      <c r="Y29" s="1"/>
      <c r="Z29" s="5">
        <f t="shared" ref="Z29:Z32" si="15">IF(T29=0,0,X29/T29)</f>
        <v>4.1287820181077989E-2</v>
      </c>
    </row>
    <row r="30" spans="1:26" s="24" customFormat="1" hidden="1" outlineLevel="2" x14ac:dyDescent="0.3">
      <c r="A30" s="27"/>
      <c r="B30" s="12" t="str">
        <f>CONCATENATE("          ", "6002", " - ", "STAFF SALARIES")</f>
        <v xml:space="preserve">          6002 - STAFF SALARIES</v>
      </c>
      <c r="C30" s="12"/>
      <c r="D30" s="8">
        <v>5600</v>
      </c>
      <c r="E30" s="3"/>
      <c r="F30" s="7">
        <f t="shared" si="8"/>
        <v>0</v>
      </c>
      <c r="G30" s="3"/>
      <c r="H30" s="8">
        <v>4836.72</v>
      </c>
      <c r="I30" s="3"/>
      <c r="J30" s="7">
        <f t="shared" si="9"/>
        <v>0</v>
      </c>
      <c r="K30" s="3"/>
      <c r="L30" s="8">
        <f t="shared" si="10"/>
        <v>763.27999999999975</v>
      </c>
      <c r="M30" s="3"/>
      <c r="N30" s="7">
        <f t="shared" si="11"/>
        <v>0.15780942456871594</v>
      </c>
      <c r="O30" s="12"/>
      <c r="P30" s="8">
        <v>5600</v>
      </c>
      <c r="Q30" s="3"/>
      <c r="R30" s="7">
        <f t="shared" si="12"/>
        <v>0</v>
      </c>
      <c r="S30" s="3"/>
      <c r="T30" s="8">
        <v>4836.72</v>
      </c>
      <c r="U30" s="3"/>
      <c r="V30" s="7">
        <f t="shared" si="13"/>
        <v>0</v>
      </c>
      <c r="W30" s="3"/>
      <c r="X30" s="8">
        <f t="shared" si="14"/>
        <v>763.27999999999975</v>
      </c>
      <c r="Y30" s="3"/>
      <c r="Z30" s="7">
        <f t="shared" si="15"/>
        <v>0.15780942456871594</v>
      </c>
    </row>
    <row r="31" spans="1:26" s="24" customFormat="1" hidden="1" outlineLevel="2" x14ac:dyDescent="0.3">
      <c r="A31" s="27"/>
      <c r="B31" s="12" t="str">
        <f>CONCATENATE("          ", "6004", " - ", "STAFF HOURLY")</f>
        <v xml:space="preserve">          6004 - STAFF HOURLY</v>
      </c>
      <c r="C31" s="12"/>
      <c r="D31" s="8">
        <v>11837.17</v>
      </c>
      <c r="E31" s="3"/>
      <c r="F31" s="7">
        <f t="shared" si="8"/>
        <v>0</v>
      </c>
      <c r="G31" s="3"/>
      <c r="H31" s="8">
        <v>10493.58</v>
      </c>
      <c r="I31" s="3"/>
      <c r="J31" s="7">
        <f t="shared" si="9"/>
        <v>0</v>
      </c>
      <c r="K31" s="3"/>
      <c r="L31" s="8">
        <f t="shared" si="10"/>
        <v>1343.5900000000001</v>
      </c>
      <c r="M31" s="3"/>
      <c r="N31" s="7">
        <f t="shared" si="11"/>
        <v>0.12803923923008165</v>
      </c>
      <c r="O31" s="12"/>
      <c r="P31" s="8">
        <v>11837.17</v>
      </c>
      <c r="Q31" s="3"/>
      <c r="R31" s="7">
        <f t="shared" si="12"/>
        <v>0</v>
      </c>
      <c r="S31" s="3"/>
      <c r="T31" s="8">
        <v>10493.58</v>
      </c>
      <c r="U31" s="3"/>
      <c r="V31" s="7">
        <f t="shared" si="13"/>
        <v>0</v>
      </c>
      <c r="W31" s="3"/>
      <c r="X31" s="8">
        <f t="shared" si="14"/>
        <v>1343.5900000000001</v>
      </c>
      <c r="Y31" s="3"/>
      <c r="Z31" s="7">
        <f t="shared" si="15"/>
        <v>0.12803923923008165</v>
      </c>
    </row>
    <row r="32" spans="1:26" s="24" customFormat="1" hidden="1" outlineLevel="2" x14ac:dyDescent="0.3">
      <c r="A32" s="27"/>
      <c r="B32" s="12" t="str">
        <f>CONCATENATE("          ", "6007", " - ", "STUDENT HOURLY")</f>
        <v xml:space="preserve">          6007 - STUDENT HOURLY</v>
      </c>
      <c r="C32" s="12"/>
      <c r="D32" s="8">
        <v>2080</v>
      </c>
      <c r="E32" s="3"/>
      <c r="F32" s="7">
        <f t="shared" si="8"/>
        <v>0</v>
      </c>
      <c r="G32" s="3"/>
      <c r="H32" s="8">
        <v>3413</v>
      </c>
      <c r="I32" s="3"/>
      <c r="J32" s="7">
        <f t="shared" si="9"/>
        <v>0</v>
      </c>
      <c r="K32" s="3"/>
      <c r="L32" s="8">
        <f t="shared" si="10"/>
        <v>-1333</v>
      </c>
      <c r="M32" s="3"/>
      <c r="N32" s="7">
        <f t="shared" si="11"/>
        <v>-0.39056548491063581</v>
      </c>
      <c r="O32" s="12"/>
      <c r="P32" s="8">
        <v>2080</v>
      </c>
      <c r="Q32" s="3"/>
      <c r="R32" s="7">
        <f t="shared" si="12"/>
        <v>0</v>
      </c>
      <c r="S32" s="3"/>
      <c r="T32" s="8">
        <v>3413</v>
      </c>
      <c r="U32" s="3"/>
      <c r="V32" s="7">
        <f t="shared" si="13"/>
        <v>0</v>
      </c>
      <c r="W32" s="3"/>
      <c r="X32" s="8">
        <f t="shared" si="14"/>
        <v>-1333</v>
      </c>
      <c r="Y32" s="3"/>
      <c r="Z32" s="7">
        <f t="shared" si="15"/>
        <v>-0.39056548491063581</v>
      </c>
    </row>
    <row r="33" spans="1:26" s="29" customFormat="1" outlineLevel="1" collapsed="1" x14ac:dyDescent="0.3">
      <c r="A33" s="28"/>
      <c r="B33" s="14" t="str">
        <f>CONCATENATE("     ","Advertising/Promo                                 ")</f>
        <v xml:space="preserve">     Advertising/Promo                                 </v>
      </c>
      <c r="C33" s="14"/>
      <c r="D33" s="1">
        <f>SUM(OSRRefD22_2x_0)</f>
        <v>40.32</v>
      </c>
      <c r="E33" s="1"/>
      <c r="F33" s="5">
        <f t="shared" ref="F33:F43" si="16">IF(D$12=0,0,D33/D$12)</f>
        <v>0</v>
      </c>
      <c r="G33" s="1"/>
      <c r="H33" s="1">
        <f>SUM(OSRRefH22_2x_0)</f>
        <v>0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40.32</v>
      </c>
      <c r="M33" s="1"/>
      <c r="N33" s="5">
        <f t="shared" ref="N33:N43" si="19">IF(H33=0,0,L33/H33)</f>
        <v>0</v>
      </c>
      <c r="O33" s="14"/>
      <c r="P33" s="1">
        <f>SUM(OSRRefP22_2x_0)</f>
        <v>40.32</v>
      </c>
      <c r="Q33" s="1"/>
      <c r="R33" s="5">
        <f t="shared" ref="R33:R43" si="20">IF(P$12=0,0,P33/P$12)</f>
        <v>0</v>
      </c>
      <c r="S33" s="1"/>
      <c r="T33" s="1">
        <f>SUM(OSRRefT22_2x_0)</f>
        <v>0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40.32</v>
      </c>
      <c r="Y33" s="1"/>
      <c r="Z33" s="5">
        <f t="shared" ref="Z33:Z43" si="23">IF(T33=0,0,X33/T33)</f>
        <v>0</v>
      </c>
    </row>
    <row r="34" spans="1:26" s="24" customFormat="1" hidden="1" outlineLevel="2" x14ac:dyDescent="0.3">
      <c r="A34" s="27"/>
      <c r="B34" s="12" t="str">
        <f>CONCATENATE("          ", "6362", " - ", "ADVERTISING EXPENSE")</f>
        <v xml:space="preserve">          6362 - ADVERTISING EXPENSE</v>
      </c>
      <c r="C34" s="12"/>
      <c r="D34" s="8">
        <v>40.32</v>
      </c>
      <c r="E34" s="3"/>
      <c r="F34" s="7">
        <f t="shared" si="16"/>
        <v>0</v>
      </c>
      <c r="G34" s="3"/>
      <c r="H34" s="8"/>
      <c r="I34" s="3"/>
      <c r="J34" s="7">
        <f t="shared" si="17"/>
        <v>0</v>
      </c>
      <c r="K34" s="3"/>
      <c r="L34" s="8">
        <f t="shared" si="18"/>
        <v>40.32</v>
      </c>
      <c r="M34" s="3"/>
      <c r="N34" s="7">
        <f t="shared" si="19"/>
        <v>0</v>
      </c>
      <c r="O34" s="12"/>
      <c r="P34" s="8">
        <v>40.32</v>
      </c>
      <c r="Q34" s="3"/>
      <c r="R34" s="7">
        <f t="shared" si="20"/>
        <v>0</v>
      </c>
      <c r="S34" s="3"/>
      <c r="T34" s="8"/>
      <c r="U34" s="3"/>
      <c r="V34" s="7">
        <f t="shared" si="21"/>
        <v>0</v>
      </c>
      <c r="W34" s="3"/>
      <c r="X34" s="8">
        <f t="shared" si="22"/>
        <v>40.32</v>
      </c>
      <c r="Y34" s="3"/>
      <c r="Z34" s="7">
        <f t="shared" si="23"/>
        <v>0</v>
      </c>
    </row>
    <row r="35" spans="1:26" s="29" customFormat="1" outlineLevel="1" collapsed="1" x14ac:dyDescent="0.3">
      <c r="A35" s="28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213.02</v>
      </c>
      <c r="E35" s="1"/>
      <c r="F35" s="5">
        <f t="shared" si="16"/>
        <v>0</v>
      </c>
      <c r="G35" s="1"/>
      <c r="H35" s="1">
        <f>SUM(OSRRefH22_3x_0)</f>
        <v>213.02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213.02</v>
      </c>
      <c r="Q35" s="1"/>
      <c r="R35" s="5">
        <f t="shared" si="20"/>
        <v>0</v>
      </c>
      <c r="S35" s="1"/>
      <c r="T35" s="1">
        <f>SUM(OSRRefT22_3x_0)</f>
        <v>213.02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2" t="str">
        <f>CONCATENATE("          ", "6322", " - ", "EQUIPMENT DEPRECIATION EXPENSE")</f>
        <v xml:space="preserve">          6322 - EQUIPMENT DEPRECIATION EXPENSE</v>
      </c>
      <c r="C36" s="12"/>
      <c r="D36" s="8">
        <v>213.02</v>
      </c>
      <c r="E36" s="3"/>
      <c r="F36" s="7">
        <f t="shared" si="16"/>
        <v>0</v>
      </c>
      <c r="G36" s="3"/>
      <c r="H36" s="8">
        <v>213.02</v>
      </c>
      <c r="I36" s="3"/>
      <c r="J36" s="7">
        <f t="shared" si="17"/>
        <v>0</v>
      </c>
      <c r="K36" s="3"/>
      <c r="L36" s="8">
        <f t="shared" si="18"/>
        <v>0</v>
      </c>
      <c r="M36" s="3"/>
      <c r="N36" s="7">
        <f t="shared" si="19"/>
        <v>0</v>
      </c>
      <c r="O36" s="12"/>
      <c r="P36" s="8">
        <v>213.02</v>
      </c>
      <c r="Q36" s="3"/>
      <c r="R36" s="7">
        <f t="shared" si="20"/>
        <v>0</v>
      </c>
      <c r="S36" s="3"/>
      <c r="T36" s="8">
        <v>213.02</v>
      </c>
      <c r="U36" s="3"/>
      <c r="V36" s="7">
        <f t="shared" si="21"/>
        <v>0</v>
      </c>
      <c r="W36" s="3"/>
      <c r="X36" s="8">
        <f t="shared" si="22"/>
        <v>0</v>
      </c>
      <c r="Y36" s="3"/>
      <c r="Z36" s="7">
        <f t="shared" si="23"/>
        <v>0</v>
      </c>
    </row>
    <row r="37" spans="1:26" s="29" customFormat="1" outlineLevel="1" collapsed="1" x14ac:dyDescent="0.3">
      <c r="A37" s="28"/>
      <c r="B37" s="14" t="str">
        <f>CONCATENATE("     ","General                                           ")</f>
        <v xml:space="preserve">     General                                           </v>
      </c>
      <c r="C37" s="14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1439.55</v>
      </c>
      <c r="I37" s="1"/>
      <c r="J37" s="5">
        <f t="shared" si="17"/>
        <v>0</v>
      </c>
      <c r="K37" s="1"/>
      <c r="L37" s="1">
        <f t="shared" si="18"/>
        <v>-1439.55</v>
      </c>
      <c r="M37" s="1"/>
      <c r="N37" s="5">
        <f t="shared" si="19"/>
        <v>-1</v>
      </c>
      <c r="O37" s="14"/>
      <c r="P37" s="1">
        <f>SUM(OSRRefP22_4x_0)</f>
        <v>0</v>
      </c>
      <c r="Q37" s="1"/>
      <c r="R37" s="5">
        <f t="shared" si="20"/>
        <v>0</v>
      </c>
      <c r="S37" s="1"/>
      <c r="T37" s="1">
        <f>SUM(OSRRefT22_4x_0)</f>
        <v>1439.55</v>
      </c>
      <c r="U37" s="1"/>
      <c r="V37" s="5">
        <f t="shared" si="21"/>
        <v>0</v>
      </c>
      <c r="W37" s="1"/>
      <c r="X37" s="1">
        <f t="shared" si="22"/>
        <v>-1439.55</v>
      </c>
      <c r="Y37" s="1"/>
      <c r="Z37" s="5">
        <f t="shared" si="23"/>
        <v>-1</v>
      </c>
    </row>
    <row r="38" spans="1:26" s="24" customFormat="1" hidden="1" outlineLevel="2" x14ac:dyDescent="0.3">
      <c r="A38" s="27"/>
      <c r="B38" s="12" t="str">
        <f>CONCATENATE("          ", "6279", " - ", "GENERAL EXPENSE")</f>
        <v xml:space="preserve">          6279 - GENERAL EXPENSE</v>
      </c>
      <c r="C38" s="12"/>
      <c r="D38" s="8"/>
      <c r="E38" s="3"/>
      <c r="F38" s="7">
        <f t="shared" si="16"/>
        <v>0</v>
      </c>
      <c r="G38" s="3"/>
      <c r="H38" s="8">
        <v>1439.55</v>
      </c>
      <c r="I38" s="3"/>
      <c r="J38" s="7">
        <f t="shared" si="17"/>
        <v>0</v>
      </c>
      <c r="K38" s="3"/>
      <c r="L38" s="8">
        <f t="shared" si="18"/>
        <v>-1439.55</v>
      </c>
      <c r="M38" s="3"/>
      <c r="N38" s="7">
        <f t="shared" si="19"/>
        <v>-1</v>
      </c>
      <c r="O38" s="12"/>
      <c r="P38" s="8"/>
      <c r="Q38" s="3"/>
      <c r="R38" s="7">
        <f t="shared" si="20"/>
        <v>0</v>
      </c>
      <c r="S38" s="3"/>
      <c r="T38" s="8">
        <v>1439.55</v>
      </c>
      <c r="U38" s="3"/>
      <c r="V38" s="7">
        <f t="shared" si="21"/>
        <v>0</v>
      </c>
      <c r="W38" s="3"/>
      <c r="X38" s="8">
        <f t="shared" si="22"/>
        <v>-1439.55</v>
      </c>
      <c r="Y38" s="3"/>
      <c r="Z38" s="7">
        <f t="shared" si="23"/>
        <v>-1</v>
      </c>
    </row>
    <row r="39" spans="1:26" s="29" customFormat="1" outlineLevel="1" collapsed="1" x14ac:dyDescent="0.3">
      <c r="A39" s="28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5.22</v>
      </c>
      <c r="E39" s="1"/>
      <c r="F39" s="5">
        <f t="shared" si="16"/>
        <v>0</v>
      </c>
      <c r="G39" s="1"/>
      <c r="H39" s="1">
        <f>SUM(OSRRefH22_5x_0)</f>
        <v>5.9</v>
      </c>
      <c r="I39" s="1"/>
      <c r="J39" s="5">
        <f t="shared" si="17"/>
        <v>0</v>
      </c>
      <c r="K39" s="1"/>
      <c r="L39" s="1">
        <f t="shared" si="18"/>
        <v>-0.6800000000000006</v>
      </c>
      <c r="M39" s="1"/>
      <c r="N39" s="5">
        <f t="shared" si="19"/>
        <v>-0.11525423728813569</v>
      </c>
      <c r="O39" s="14"/>
      <c r="P39" s="1">
        <f>SUM(OSRRefP22_5x_0)</f>
        <v>5.22</v>
      </c>
      <c r="Q39" s="1"/>
      <c r="R39" s="5">
        <f t="shared" si="20"/>
        <v>0</v>
      </c>
      <c r="S39" s="1"/>
      <c r="T39" s="1">
        <f>SUM(OSRRefT22_5x_0)</f>
        <v>5.9</v>
      </c>
      <c r="U39" s="1"/>
      <c r="V39" s="5">
        <f t="shared" si="21"/>
        <v>0</v>
      </c>
      <c r="W39" s="1"/>
      <c r="X39" s="1">
        <f t="shared" si="22"/>
        <v>-0.6800000000000006</v>
      </c>
      <c r="Y39" s="1"/>
      <c r="Z39" s="5">
        <f t="shared" si="23"/>
        <v>-0.11525423728813569</v>
      </c>
    </row>
    <row r="40" spans="1:26" s="24" customFormat="1" hidden="1" outlineLevel="2" x14ac:dyDescent="0.3">
      <c r="A40" s="27"/>
      <c r="B40" s="12" t="str">
        <f>CONCATENATE("          ", "6314", " - ", "LIABILITY INSURANCE")</f>
        <v xml:space="preserve">          6314 - LIABILITY INSURANCE</v>
      </c>
      <c r="C40" s="12"/>
      <c r="D40" s="8">
        <v>5.22</v>
      </c>
      <c r="E40" s="3"/>
      <c r="F40" s="7">
        <f t="shared" si="16"/>
        <v>0</v>
      </c>
      <c r="G40" s="3"/>
      <c r="H40" s="8">
        <v>5.9</v>
      </c>
      <c r="I40" s="3"/>
      <c r="J40" s="7">
        <f t="shared" si="17"/>
        <v>0</v>
      </c>
      <c r="K40" s="3"/>
      <c r="L40" s="8">
        <f t="shared" si="18"/>
        <v>-0.6800000000000006</v>
      </c>
      <c r="M40" s="3"/>
      <c r="N40" s="7">
        <f t="shared" si="19"/>
        <v>-0.11525423728813569</v>
      </c>
      <c r="O40" s="12"/>
      <c r="P40" s="8">
        <v>5.22</v>
      </c>
      <c r="Q40" s="3"/>
      <c r="R40" s="7">
        <f t="shared" si="20"/>
        <v>0</v>
      </c>
      <c r="S40" s="3"/>
      <c r="T40" s="8">
        <v>5.9</v>
      </c>
      <c r="U40" s="3"/>
      <c r="V40" s="7">
        <f t="shared" si="21"/>
        <v>0</v>
      </c>
      <c r="W40" s="3"/>
      <c r="X40" s="8">
        <f t="shared" si="22"/>
        <v>-0.6800000000000006</v>
      </c>
      <c r="Y40" s="3"/>
      <c r="Z40" s="7">
        <f t="shared" si="23"/>
        <v>-0.11525423728813569</v>
      </c>
    </row>
    <row r="41" spans="1:26" s="29" customFormat="1" outlineLevel="1" collapsed="1" x14ac:dyDescent="0.3">
      <c r="A41" s="28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SUM(OSRRefD22_6x_0)</f>
        <v>2419.64</v>
      </c>
      <c r="E41" s="1"/>
      <c r="F41" s="5">
        <f t="shared" si="16"/>
        <v>0</v>
      </c>
      <c r="G41" s="1"/>
      <c r="H41" s="1">
        <f>SUM(OSRRefH22_6x_0)</f>
        <v>669.64</v>
      </c>
      <c r="I41" s="1"/>
      <c r="J41" s="5">
        <f t="shared" si="17"/>
        <v>0</v>
      </c>
      <c r="K41" s="1"/>
      <c r="L41" s="1">
        <f t="shared" si="18"/>
        <v>1750</v>
      </c>
      <c r="M41" s="1"/>
      <c r="N41" s="5">
        <f t="shared" si="19"/>
        <v>2.6133444836031301</v>
      </c>
      <c r="O41" s="14"/>
      <c r="P41" s="1">
        <f>SUM(OSRRefP22_6x_0)</f>
        <v>2419.64</v>
      </c>
      <c r="Q41" s="1"/>
      <c r="R41" s="5">
        <f t="shared" si="20"/>
        <v>0</v>
      </c>
      <c r="S41" s="1"/>
      <c r="T41" s="1">
        <f>SUM(OSRRefT22_6x_0)</f>
        <v>669.64</v>
      </c>
      <c r="U41" s="1"/>
      <c r="V41" s="5">
        <f t="shared" si="21"/>
        <v>0</v>
      </c>
      <c r="W41" s="1"/>
      <c r="X41" s="1">
        <f t="shared" si="22"/>
        <v>1750</v>
      </c>
      <c r="Y41" s="1"/>
      <c r="Z41" s="5">
        <f t="shared" si="23"/>
        <v>2.6133444836031301</v>
      </c>
    </row>
    <row r="42" spans="1:26" s="24" customFormat="1" hidden="1" outlineLevel="2" x14ac:dyDescent="0.3">
      <c r="A42" s="27"/>
      <c r="B42" s="12" t="str">
        <f>CONCATENATE("          ", "6282", " - ", "JANITORIAL/EXTERMINATOR EXPENS")</f>
        <v xml:space="preserve">          6282 - JANITORIAL/EXTERMINATOR EXPENS</v>
      </c>
      <c r="C42" s="12"/>
      <c r="D42" s="8">
        <v>669.64</v>
      </c>
      <c r="E42" s="3"/>
      <c r="F42" s="7">
        <f t="shared" si="16"/>
        <v>0</v>
      </c>
      <c r="G42" s="3"/>
      <c r="H42" s="8">
        <v>669.64</v>
      </c>
      <c r="I42" s="3"/>
      <c r="J42" s="7">
        <f t="shared" si="17"/>
        <v>0</v>
      </c>
      <c r="K42" s="3"/>
      <c r="L42" s="8">
        <f t="shared" si="18"/>
        <v>0</v>
      </c>
      <c r="M42" s="3"/>
      <c r="N42" s="7">
        <f t="shared" si="19"/>
        <v>0</v>
      </c>
      <c r="O42" s="12"/>
      <c r="P42" s="8">
        <v>669.64</v>
      </c>
      <c r="Q42" s="3"/>
      <c r="R42" s="7">
        <f t="shared" si="20"/>
        <v>0</v>
      </c>
      <c r="S42" s="3"/>
      <c r="T42" s="8">
        <v>669.64</v>
      </c>
      <c r="U42" s="3"/>
      <c r="V42" s="7">
        <f t="shared" si="21"/>
        <v>0</v>
      </c>
      <c r="W42" s="3"/>
      <c r="X42" s="8">
        <f t="shared" si="22"/>
        <v>0</v>
      </c>
      <c r="Y42" s="3"/>
      <c r="Z42" s="7">
        <f t="shared" si="23"/>
        <v>0</v>
      </c>
    </row>
    <row r="43" spans="1:26" s="24" customFormat="1" hidden="1" outlineLevel="2" x14ac:dyDescent="0.3">
      <c r="A43" s="27"/>
      <c r="B43" s="12" t="str">
        <f>CONCATENATE("          ", "6285", " - ", "JANITORIAL SERVICES")</f>
        <v xml:space="preserve">          6285 - JANITORIAL SERVICES</v>
      </c>
      <c r="C43" s="12"/>
      <c r="D43" s="8">
        <v>1750</v>
      </c>
      <c r="E43" s="3"/>
      <c r="F43" s="7">
        <f t="shared" si="16"/>
        <v>0</v>
      </c>
      <c r="G43" s="3"/>
      <c r="H43" s="8"/>
      <c r="I43" s="3"/>
      <c r="J43" s="7">
        <f t="shared" si="17"/>
        <v>0</v>
      </c>
      <c r="K43" s="3"/>
      <c r="L43" s="8">
        <f t="shared" si="18"/>
        <v>1750</v>
      </c>
      <c r="M43" s="3"/>
      <c r="N43" s="7">
        <f t="shared" si="19"/>
        <v>0</v>
      </c>
      <c r="O43" s="12"/>
      <c r="P43" s="8">
        <v>1750</v>
      </c>
      <c r="Q43" s="3"/>
      <c r="R43" s="7">
        <f t="shared" si="20"/>
        <v>0</v>
      </c>
      <c r="S43" s="3"/>
      <c r="T43" s="8"/>
      <c r="U43" s="3"/>
      <c r="V43" s="7">
        <f t="shared" si="21"/>
        <v>0</v>
      </c>
      <c r="W43" s="3"/>
      <c r="X43" s="8">
        <f t="shared" si="22"/>
        <v>1750</v>
      </c>
      <c r="Y43" s="3"/>
      <c r="Z43" s="7">
        <f t="shared" si="23"/>
        <v>0</v>
      </c>
    </row>
    <row r="44" spans="1:26" s="29" customFormat="1" outlineLevel="1" collapsed="1" x14ac:dyDescent="0.3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SUM(OSRRefD22_7x_0)</f>
        <v>4.5</v>
      </c>
      <c r="E44" s="1"/>
      <c r="F44" s="5">
        <f t="shared" ref="F44:F47" si="24">IF(D$12=0,0,D44/D$12)</f>
        <v>0</v>
      </c>
      <c r="G44" s="1"/>
      <c r="H44" s="1">
        <f>SUM(OSRRefH22_7x_0)</f>
        <v>0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4.5</v>
      </c>
      <c r="M44" s="1"/>
      <c r="N44" s="5">
        <f t="shared" ref="N44:N47" si="27">IF(H44=0,0,L44/H44)</f>
        <v>0</v>
      </c>
      <c r="O44" s="14"/>
      <c r="P44" s="1">
        <f>SUM(OSRRefP22_7x_0)</f>
        <v>4.5</v>
      </c>
      <c r="Q44" s="1"/>
      <c r="R44" s="5">
        <f t="shared" ref="R44:R47" si="28">IF(P$12=0,0,P44/P$12)</f>
        <v>0</v>
      </c>
      <c r="S44" s="1"/>
      <c r="T44" s="1">
        <f>SUM(OSRRefT22_7x_0)</f>
        <v>0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4.5</v>
      </c>
      <c r="Y44" s="1"/>
      <c r="Z44" s="5">
        <f t="shared" ref="Z44:Z47" si="31">IF(T44=0,0,X44/T44)</f>
        <v>0</v>
      </c>
    </row>
    <row r="45" spans="1:26" s="24" customFormat="1" hidden="1" outlineLevel="2" x14ac:dyDescent="0.3">
      <c r="A45" s="27"/>
      <c r="B45" s="12" t="str">
        <f>CONCATENATE("          ", "6241", " - ", "OFFICE EXPENSE")</f>
        <v xml:space="preserve">          6241 - OFFICE EXPENSE</v>
      </c>
      <c r="C45" s="12"/>
      <c r="D45" s="8">
        <v>4.5</v>
      </c>
      <c r="E45" s="3"/>
      <c r="F45" s="7">
        <f t="shared" si="24"/>
        <v>0</v>
      </c>
      <c r="G45" s="3"/>
      <c r="H45" s="8"/>
      <c r="I45" s="3"/>
      <c r="J45" s="7">
        <f t="shared" si="25"/>
        <v>0</v>
      </c>
      <c r="K45" s="3"/>
      <c r="L45" s="8">
        <f t="shared" si="26"/>
        <v>4.5</v>
      </c>
      <c r="M45" s="3"/>
      <c r="N45" s="7">
        <f t="shared" si="27"/>
        <v>0</v>
      </c>
      <c r="O45" s="12"/>
      <c r="P45" s="8">
        <v>4.5</v>
      </c>
      <c r="Q45" s="3"/>
      <c r="R45" s="7">
        <f t="shared" si="28"/>
        <v>0</v>
      </c>
      <c r="S45" s="3"/>
      <c r="T45" s="8"/>
      <c r="U45" s="3"/>
      <c r="V45" s="7">
        <f t="shared" si="29"/>
        <v>0</v>
      </c>
      <c r="W45" s="3"/>
      <c r="X45" s="8">
        <f t="shared" si="30"/>
        <v>4.5</v>
      </c>
      <c r="Y45" s="3"/>
      <c r="Z45" s="7">
        <f t="shared" si="31"/>
        <v>0</v>
      </c>
    </row>
    <row r="46" spans="1:26" s="29" customFormat="1" outlineLevel="1" collapsed="1" x14ac:dyDescent="0.3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SUM(OSRRefD22_8x_0)</f>
        <v>60</v>
      </c>
      <c r="E46" s="1"/>
      <c r="F46" s="5">
        <f t="shared" si="24"/>
        <v>0</v>
      </c>
      <c r="G46" s="1"/>
      <c r="H46" s="1">
        <f>SUM(OSRRefH22_8x_0)</f>
        <v>109</v>
      </c>
      <c r="I46" s="1"/>
      <c r="J46" s="5">
        <f t="shared" si="25"/>
        <v>0</v>
      </c>
      <c r="K46" s="1"/>
      <c r="L46" s="1">
        <f t="shared" si="26"/>
        <v>-49</v>
      </c>
      <c r="M46" s="1"/>
      <c r="N46" s="5">
        <f t="shared" si="27"/>
        <v>-0.44954128440366975</v>
      </c>
      <c r="O46" s="14"/>
      <c r="P46" s="1">
        <f>SUM(OSRRefP22_8x_0)</f>
        <v>60</v>
      </c>
      <c r="Q46" s="1"/>
      <c r="R46" s="5">
        <f t="shared" si="28"/>
        <v>0</v>
      </c>
      <c r="S46" s="1"/>
      <c r="T46" s="1">
        <f>SUM(OSRRefT22_8x_0)</f>
        <v>109</v>
      </c>
      <c r="U46" s="1"/>
      <c r="V46" s="5">
        <f t="shared" si="29"/>
        <v>0</v>
      </c>
      <c r="W46" s="1"/>
      <c r="X46" s="1">
        <f t="shared" si="30"/>
        <v>-49</v>
      </c>
      <c r="Y46" s="1"/>
      <c r="Z46" s="5">
        <f t="shared" si="31"/>
        <v>-0.44954128440366975</v>
      </c>
    </row>
    <row r="47" spans="1:26" s="24" customFormat="1" hidden="1" outlineLevel="2" x14ac:dyDescent="0.3">
      <c r="A47" s="27"/>
      <c r="B47" s="12" t="str">
        <f>CONCATENATE("          ", "6309", " - ", "TELEPHONE")</f>
        <v xml:space="preserve">          6309 - TELEPHONE</v>
      </c>
      <c r="C47" s="12"/>
      <c r="D47" s="8">
        <v>60</v>
      </c>
      <c r="E47" s="3"/>
      <c r="F47" s="7">
        <f t="shared" si="24"/>
        <v>0</v>
      </c>
      <c r="G47" s="3"/>
      <c r="H47" s="8">
        <v>109</v>
      </c>
      <c r="I47" s="3"/>
      <c r="J47" s="7">
        <f t="shared" si="25"/>
        <v>0</v>
      </c>
      <c r="K47" s="3"/>
      <c r="L47" s="8">
        <f t="shared" si="26"/>
        <v>-49</v>
      </c>
      <c r="M47" s="3"/>
      <c r="N47" s="7">
        <f t="shared" si="27"/>
        <v>-0.44954128440366975</v>
      </c>
      <c r="O47" s="12"/>
      <c r="P47" s="8">
        <v>60</v>
      </c>
      <c r="Q47" s="3"/>
      <c r="R47" s="7">
        <f t="shared" si="28"/>
        <v>0</v>
      </c>
      <c r="S47" s="3"/>
      <c r="T47" s="8">
        <v>109</v>
      </c>
      <c r="U47" s="3"/>
      <c r="V47" s="7">
        <f t="shared" si="29"/>
        <v>0</v>
      </c>
      <c r="W47" s="3"/>
      <c r="X47" s="8">
        <f t="shared" si="30"/>
        <v>-49</v>
      </c>
      <c r="Y47" s="3"/>
      <c r="Z47" s="7">
        <f t="shared" si="31"/>
        <v>-0.44954128440366975</v>
      </c>
    </row>
    <row r="48" spans="1:26" s="53" customFormat="1" x14ac:dyDescent="0.3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3">
      <c r="A49" s="10"/>
      <c r="B49" s="25" t="s">
        <v>292</v>
      </c>
      <c r="C49" s="10"/>
      <c r="D49" s="4">
        <f>SUM(0)</f>
        <v>0</v>
      </c>
      <c r="E49" s="4"/>
      <c r="F49" s="11">
        <f>IF(D$12=0,0,D49/D$12)</f>
        <v>0</v>
      </c>
      <c r="G49" s="4"/>
      <c r="H49" s="4">
        <f>SUM(0)</f>
        <v>0</v>
      </c>
      <c r="I49" s="4"/>
      <c r="J49" s="11">
        <f>IF(H$12=0,0,H49/H$12)</f>
        <v>0</v>
      </c>
      <c r="K49" s="4"/>
      <c r="L49" s="4">
        <f>+D49-H49</f>
        <v>0</v>
      </c>
      <c r="M49" s="4"/>
      <c r="N49" s="11">
        <f>IF(H49=0,0,L49/H49)</f>
        <v>0</v>
      </c>
      <c r="O49" s="10"/>
      <c r="P49" s="4">
        <f>SUM(0)</f>
        <v>0</v>
      </c>
      <c r="Q49" s="4"/>
      <c r="R49" s="11">
        <f>IF(P$12=0,0,P49/P$12)</f>
        <v>0</v>
      </c>
      <c r="S49" s="4"/>
      <c r="T49" s="4">
        <f>SUM(0)</f>
        <v>0</v>
      </c>
      <c r="U49" s="4"/>
      <c r="V49" s="11">
        <f>IF(T$12=0,0,T49/T$12)</f>
        <v>0</v>
      </c>
      <c r="W49" s="4"/>
      <c r="X49" s="4">
        <f>+P49-T49</f>
        <v>0</v>
      </c>
      <c r="Y49" s="4"/>
      <c r="Z49" s="11">
        <f>IF(T49=0,0,X49/T49)</f>
        <v>0</v>
      </c>
    </row>
    <row r="50" spans="1:26" x14ac:dyDescent="0.3">
      <c r="A50" s="9"/>
      <c r="B50" s="10"/>
      <c r="C50" s="10"/>
      <c r="D50" s="2"/>
      <c r="E50" s="2"/>
      <c r="F50" s="6"/>
      <c r="G50" s="2"/>
      <c r="H50" s="2"/>
      <c r="I50" s="2"/>
      <c r="J50" s="6"/>
      <c r="K50" s="2"/>
      <c r="L50" s="2"/>
      <c r="M50" s="2"/>
      <c r="N50" s="6"/>
      <c r="O50" s="10"/>
      <c r="P50" s="2"/>
      <c r="Q50" s="2"/>
      <c r="R50" s="6"/>
      <c r="S50" s="2"/>
      <c r="T50" s="2"/>
      <c r="U50" s="2"/>
      <c r="V50" s="6"/>
      <c r="W50" s="2"/>
      <c r="X50" s="2"/>
      <c r="Y50" s="2"/>
      <c r="Z50" s="6"/>
    </row>
    <row r="51" spans="1:26" s="23" customFormat="1" x14ac:dyDescent="0.3">
      <c r="A51" s="10"/>
      <c r="B51" s="26" t="s">
        <v>276</v>
      </c>
      <c r="C51" s="26"/>
      <c r="D51" s="20">
        <f>+D16-D18+D49</f>
        <v>-40764.729999999996</v>
      </c>
      <c r="E51" s="13"/>
      <c r="F51" s="21">
        <f>IF(D$12=0,0,D51/D$12)</f>
        <v>0</v>
      </c>
      <c r="G51" s="13"/>
      <c r="H51" s="20">
        <f>+H16-H18+H49</f>
        <v>-40360.14</v>
      </c>
      <c r="I51" s="13"/>
      <c r="J51" s="21">
        <f>IF(H$12=0,0,H51/H$12)</f>
        <v>0</v>
      </c>
      <c r="K51" s="16"/>
      <c r="L51" s="20">
        <f>+D51-H51</f>
        <v>-404.58999999999651</v>
      </c>
      <c r="M51" s="16"/>
      <c r="N51" s="21">
        <f>IF(H51=0,0,L51/H51)</f>
        <v>1.0024494464092456E-2</v>
      </c>
      <c r="O51" s="25"/>
      <c r="P51" s="20">
        <f>+P16-P18+P49</f>
        <v>-40764.729999999996</v>
      </c>
      <c r="Q51" s="13"/>
      <c r="R51" s="21">
        <f>IF(P$12=0,0,P51/P$12)</f>
        <v>0</v>
      </c>
      <c r="S51" s="13"/>
      <c r="T51" s="20">
        <f>+T16-T18+T49</f>
        <v>-40360.14</v>
      </c>
      <c r="U51" s="13"/>
      <c r="V51" s="21">
        <f>IF(T$12=0,0,T51/T$12)</f>
        <v>0</v>
      </c>
      <c r="W51" s="16"/>
      <c r="X51" s="20">
        <f>+P51-T51</f>
        <v>-404.58999999999651</v>
      </c>
      <c r="Y51" s="16"/>
      <c r="Z51" s="21">
        <f>IF(T51=0,0,X51/T51)</f>
        <v>1.0024494464092456E-2</v>
      </c>
    </row>
    <row r="52" spans="1:26" x14ac:dyDescent="0.3">
      <c r="A52" s="9"/>
      <c r="B52" s="10"/>
      <c r="C52" s="9"/>
      <c r="D52" s="2"/>
      <c r="E52" s="2"/>
      <c r="F52" s="6"/>
      <c r="G52" s="2"/>
      <c r="H52" s="2"/>
      <c r="I52" s="2"/>
      <c r="J52" s="6"/>
      <c r="K52" s="2"/>
      <c r="L52" s="2"/>
      <c r="M52" s="2"/>
      <c r="N52" s="6"/>
      <c r="P52" s="2"/>
      <c r="Q52" s="2"/>
      <c r="R52" s="6"/>
      <c r="S52" s="2"/>
      <c r="T52" s="2"/>
      <c r="U52" s="2"/>
      <c r="V52" s="6"/>
      <c r="W52" s="2"/>
      <c r="X52" s="2"/>
      <c r="Y52" s="2"/>
      <c r="Z52" s="6"/>
    </row>
    <row r="53" spans="1:26" s="23" customFormat="1" x14ac:dyDescent="0.3">
      <c r="A53" s="51"/>
      <c r="B53" s="10" t="s">
        <v>127</v>
      </c>
      <c r="C53" s="10"/>
      <c r="D53" s="4"/>
      <c r="E53" s="4"/>
      <c r="F53" s="11">
        <f>IF(D$12=0,0,D53/D$12)</f>
        <v>0</v>
      </c>
      <c r="G53" s="4"/>
      <c r="H53" s="4"/>
      <c r="I53" s="4"/>
      <c r="J53" s="11">
        <f>IF(H$12=0,0,H53/H$12)</f>
        <v>0</v>
      </c>
      <c r="K53" s="4"/>
      <c r="L53" s="4">
        <f>+D53-H53</f>
        <v>0</v>
      </c>
      <c r="M53" s="4"/>
      <c r="N53" s="11">
        <f>IF(H53=0,0,L53/H53)</f>
        <v>0</v>
      </c>
      <c r="O53" s="10"/>
      <c r="P53" s="4"/>
      <c r="Q53" s="4"/>
      <c r="R53" s="11">
        <f>IF(P$12=0,0,P53/P$12)</f>
        <v>0</v>
      </c>
      <c r="S53" s="4"/>
      <c r="T53" s="4"/>
      <c r="U53" s="4"/>
      <c r="V53" s="11">
        <f>IF(T$12=0,0,T53/T$12)</f>
        <v>0</v>
      </c>
      <c r="W53" s="4"/>
      <c r="X53" s="4">
        <f>+P53-T53</f>
        <v>0</v>
      </c>
      <c r="Y53" s="4"/>
      <c r="Z53" s="11">
        <f>IF(T53=0,0,X53/T53)</f>
        <v>0</v>
      </c>
    </row>
    <row r="54" spans="1:26" x14ac:dyDescent="0.3">
      <c r="A54" s="9"/>
      <c r="B54" s="10"/>
      <c r="C54" s="10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10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23" customFormat="1" ht="15" thickBot="1" x14ac:dyDescent="0.35">
      <c r="A55" s="10"/>
      <c r="B55" s="26" t="s">
        <v>125</v>
      </c>
      <c r="C55" s="26"/>
      <c r="D55" s="36">
        <f>+D51-D53</f>
        <v>-40764.729999999996</v>
      </c>
      <c r="E55" s="13"/>
      <c r="F55" s="34">
        <f>IF(D$12=0,0,D55/D$12)</f>
        <v>0</v>
      </c>
      <c r="G55" s="13"/>
      <c r="H55" s="36">
        <f>+H51-H53</f>
        <v>-40360.14</v>
      </c>
      <c r="I55" s="13"/>
      <c r="J55" s="34">
        <f>IF(H$12=0,0,H55/H$12)</f>
        <v>0</v>
      </c>
      <c r="K55" s="16"/>
      <c r="L55" s="36">
        <f>D55-H55</f>
        <v>-404.58999999999651</v>
      </c>
      <c r="M55" s="16"/>
      <c r="N55" s="34">
        <f>IF(H55=0,0,L55/H55)</f>
        <v>1.0024494464092456E-2</v>
      </c>
      <c r="O55" s="25"/>
      <c r="P55" s="36">
        <f>+P51-P53</f>
        <v>-40764.729999999996</v>
      </c>
      <c r="Q55" s="13"/>
      <c r="R55" s="34">
        <f>IF(P$12=0,0,P55/P$12)</f>
        <v>0</v>
      </c>
      <c r="S55" s="13"/>
      <c r="T55" s="36">
        <f>+T51-T53</f>
        <v>-40360.14</v>
      </c>
      <c r="U55" s="13"/>
      <c r="V55" s="34">
        <f>IF(T$12=0,0,T55/T$12)</f>
        <v>0</v>
      </c>
      <c r="W55" s="16"/>
      <c r="X55" s="36">
        <f>P55-T55</f>
        <v>-404.58999999999651</v>
      </c>
      <c r="Y55" s="16"/>
      <c r="Z55" s="34">
        <f>IF(T55=0,0,X55/T55)</f>
        <v>1.0024494464092456E-2</v>
      </c>
    </row>
    <row r="56" spans="1:26" ht="15" thickTop="1" x14ac:dyDescent="0.3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x14ac:dyDescent="0.3">
      <c r="A57" s="9"/>
      <c r="B57" s="9"/>
      <c r="C57" s="9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23" customFormat="1" ht="15" thickBot="1" x14ac:dyDescent="0.35">
      <c r="A58" s="10"/>
      <c r="B58" s="26" t="s">
        <v>293</v>
      </c>
      <c r="C58" s="26"/>
      <c r="D58" s="31">
        <f>SUM(D55:D57)</f>
        <v>-40764.729999999996</v>
      </c>
      <c r="E58" s="13"/>
      <c r="F58" s="33">
        <f>IF(D$12=0,0,D58/D$12)</f>
        <v>0</v>
      </c>
      <c r="G58" s="13"/>
      <c r="H58" s="31">
        <f>SUM(H55:H57)</f>
        <v>-40360.14</v>
      </c>
      <c r="I58" s="13"/>
      <c r="J58" s="33">
        <f>IF(H$12=0,0,H58/H$12)</f>
        <v>0</v>
      </c>
      <c r="K58" s="16"/>
      <c r="L58" s="31">
        <f>+D58-H58</f>
        <v>-404.58999999999651</v>
      </c>
      <c r="M58" s="16"/>
      <c r="N58" s="33">
        <f>IF(H58=0,0,L58/H58)</f>
        <v>1.0024494464092456E-2</v>
      </c>
      <c r="O58" s="25"/>
      <c r="P58" s="31">
        <f>SUM(P55:P57)</f>
        <v>-40764.729999999996</v>
      </c>
      <c r="Q58" s="13"/>
      <c r="R58" s="33">
        <f>IF(P$12=0,0,P58/P$12)</f>
        <v>0</v>
      </c>
      <c r="S58" s="13"/>
      <c r="T58" s="31">
        <f>SUM(T55:T57)</f>
        <v>-40360.14</v>
      </c>
      <c r="U58" s="13"/>
      <c r="V58" s="33">
        <f>IF(T$12=0,0,T58/T$12)</f>
        <v>0</v>
      </c>
      <c r="W58" s="16"/>
      <c r="X58" s="31">
        <f>+P58-T58</f>
        <v>-404.58999999999651</v>
      </c>
      <c r="Y58" s="16"/>
      <c r="Z58" s="33">
        <f>IF(T58=0,0,X58/T58)</f>
        <v>1.0024494464092456E-2</v>
      </c>
    </row>
    <row r="59" spans="1:26" ht="15" thickTop="1" x14ac:dyDescent="0.3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A60" s="9"/>
      <c r="B60" s="59">
        <v>44462.666945868055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57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A62" s="9"/>
      <c r="B62" s="61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3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">
        <v>104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145655</v>
      </c>
      <c r="E12" s="4"/>
      <c r="F12" s="11"/>
      <c r="G12" s="4"/>
      <c r="H12" s="4">
        <f>SUM(OSRRefH13x_0)</f>
        <v>20971</v>
      </c>
      <c r="I12" s="4"/>
      <c r="J12" s="11"/>
      <c r="K12" s="4"/>
      <c r="L12" s="4">
        <f t="shared" ref="L12:L13" si="0">+D12-H12</f>
        <v>124684</v>
      </c>
      <c r="M12" s="4"/>
      <c r="N12" s="11">
        <f t="shared" ref="N12:N13" si="1">IF(H12=0,0,L12/H12)</f>
        <v>5.9455438462638881</v>
      </c>
      <c r="O12" s="10"/>
      <c r="P12" s="4">
        <f>SUM(OSRRefP13x_0)</f>
        <v>145655</v>
      </c>
      <c r="Q12" s="4"/>
      <c r="R12" s="11"/>
      <c r="S12" s="4"/>
      <c r="T12" s="4">
        <f>SUM(OSRRefT13x_0)</f>
        <v>20971</v>
      </c>
      <c r="U12" s="4"/>
      <c r="V12" s="11"/>
      <c r="W12" s="4"/>
      <c r="X12" s="4">
        <f t="shared" ref="X12:X13" si="2">+P12-T12</f>
        <v>124684</v>
      </c>
      <c r="Y12" s="4"/>
      <c r="Z12" s="11">
        <f t="shared" ref="Z12:Z13" si="3">IF(T12=0,0,X12/T12)</f>
        <v>5.9455438462638881</v>
      </c>
    </row>
    <row r="13" spans="1:26" s="24" customFormat="1" hidden="1" outlineLevel="1" x14ac:dyDescent="0.3">
      <c r="A13" s="50"/>
      <c r="B13" s="12" t="str">
        <f>CONCATENATE("          ", "4100", " - ", "NON-TAXABLE SALES")</f>
        <v xml:space="preserve">          4100 - NON-TAXABLE SALES</v>
      </c>
      <c r="C13" s="12"/>
      <c r="D13" s="3">
        <f>--145655</f>
        <v>145655</v>
      </c>
      <c r="E13" s="3"/>
      <c r="F13" s="22"/>
      <c r="G13" s="3"/>
      <c r="H13" s="3">
        <f>--20971</f>
        <v>20971</v>
      </c>
      <c r="I13" s="3"/>
      <c r="J13" s="22"/>
      <c r="K13" s="3"/>
      <c r="L13" s="3">
        <f t="shared" si="0"/>
        <v>124684</v>
      </c>
      <c r="M13" s="3"/>
      <c r="N13" s="22">
        <f t="shared" si="1"/>
        <v>5.9455438462638881</v>
      </c>
      <c r="O13" s="12"/>
      <c r="P13" s="3">
        <f>--145655</f>
        <v>145655</v>
      </c>
      <c r="Q13" s="3"/>
      <c r="R13" s="22"/>
      <c r="S13" s="3"/>
      <c r="T13" s="3">
        <f>--20971</f>
        <v>20971</v>
      </c>
      <c r="U13" s="3"/>
      <c r="V13" s="22"/>
      <c r="W13" s="3"/>
      <c r="X13" s="3">
        <f t="shared" si="2"/>
        <v>124684</v>
      </c>
      <c r="Y13" s="3"/>
      <c r="Z13" s="22">
        <f t="shared" si="3"/>
        <v>5.9455438462638881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D12-D15</f>
        <v>145655</v>
      </c>
      <c r="E17" s="13"/>
      <c r="F17" s="21">
        <f>IF(D$12=0,0,D17/D$12)</f>
        <v>1</v>
      </c>
      <c r="G17" s="13"/>
      <c r="H17" s="20">
        <f>H12-H15</f>
        <v>20971</v>
      </c>
      <c r="I17" s="13"/>
      <c r="J17" s="21">
        <f>IF(H$12=0,0,H17/H$12)</f>
        <v>1</v>
      </c>
      <c r="K17" s="16"/>
      <c r="L17" s="20">
        <f>+D17-H17</f>
        <v>124684</v>
      </c>
      <c r="M17" s="16"/>
      <c r="N17" s="21">
        <f>IF(H17=0,0,L17/H17)</f>
        <v>5.9455438462638881</v>
      </c>
      <c r="O17" s="25"/>
      <c r="P17" s="20">
        <f>P12-P15</f>
        <v>145655</v>
      </c>
      <c r="Q17" s="13"/>
      <c r="R17" s="21">
        <f>IF(P$12=0,0,P17/P$12)</f>
        <v>1</v>
      </c>
      <c r="S17" s="13"/>
      <c r="T17" s="20">
        <f>T12-T15</f>
        <v>20971</v>
      </c>
      <c r="U17" s="13"/>
      <c r="V17" s="21">
        <f>IF(T$12=0,0,T17/T$12)</f>
        <v>1</v>
      </c>
      <c r="W17" s="16"/>
      <c r="X17" s="20">
        <f>+P17-T17</f>
        <v>124684</v>
      </c>
      <c r="Y17" s="16"/>
      <c r="Z17" s="21">
        <f>IF(T17=0,0,X17/T17)</f>
        <v>5.9455438462638881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145763.01999999999</v>
      </c>
      <c r="E19" s="19"/>
      <c r="F19" s="35">
        <f t="shared" ref="F19:F28" si="4">IF(D$12=0,0,D19/D$12)</f>
        <v>1.0007416154611926</v>
      </c>
      <c r="G19" s="19"/>
      <c r="H19" s="19">
        <f>SUM(OSRRefH22x_0)</f>
        <v>21135.86</v>
      </c>
      <c r="I19" s="19"/>
      <c r="J19" s="35">
        <f t="shared" ref="J19:J28" si="5">IF(H$12=0,0,H19/H$12)</f>
        <v>1.0078613323160555</v>
      </c>
      <c r="K19" s="4"/>
      <c r="L19" s="19">
        <f t="shared" ref="L19:L28" si="6">+D19-H19</f>
        <v>124627.15999999999</v>
      </c>
      <c r="M19" s="4"/>
      <c r="N19" s="35">
        <f t="shared" ref="N19:N28" si="7">IF(H19=0,0,L19/H19)</f>
        <v>5.8964792537422177</v>
      </c>
      <c r="O19" s="10"/>
      <c r="P19" s="19">
        <f>SUM(OSRRefP22x_0)</f>
        <v>145763.01999999999</v>
      </c>
      <c r="Q19" s="19"/>
      <c r="R19" s="35">
        <f t="shared" ref="R19:R28" si="8">IF(P$12=0,0,P19/P$12)</f>
        <v>1.0007416154611926</v>
      </c>
      <c r="S19" s="19"/>
      <c r="T19" s="19">
        <f>SUM(OSRRefT22x_0)</f>
        <v>21135.86</v>
      </c>
      <c r="U19" s="19"/>
      <c r="V19" s="35">
        <f t="shared" ref="V19:V28" si="9">IF(T$12=0,0,T19/T$12)</f>
        <v>1.0078613323160555</v>
      </c>
      <c r="W19" s="4"/>
      <c r="X19" s="19">
        <f t="shared" ref="X19:X28" si="10">+P19-T19</f>
        <v>124627.15999999999</v>
      </c>
      <c r="Y19" s="4"/>
      <c r="Z19" s="35">
        <f t="shared" ref="Z19:Z28" si="11">IF(T19=0,0,X19/T19)</f>
        <v>5.8964792537422177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3801.83</v>
      </c>
      <c r="E20" s="1"/>
      <c r="F20" s="5">
        <f t="shared" si="4"/>
        <v>2.6101609968761801E-2</v>
      </c>
      <c r="G20" s="1"/>
      <c r="H20" s="1">
        <f>SUM(OSRRefH22_0x_0)</f>
        <v>4207.82</v>
      </c>
      <c r="I20" s="1"/>
      <c r="J20" s="5">
        <f t="shared" si="5"/>
        <v>0.20064946831338515</v>
      </c>
      <c r="K20" s="1"/>
      <c r="L20" s="1">
        <f t="shared" si="6"/>
        <v>-405.98999999999978</v>
      </c>
      <c r="M20" s="1"/>
      <c r="N20" s="5">
        <f t="shared" si="7"/>
        <v>-9.6484640502683058E-2</v>
      </c>
      <c r="O20" s="14"/>
      <c r="P20" s="1">
        <f>SUM(OSRRefP22_0x_0)</f>
        <v>3801.83</v>
      </c>
      <c r="Q20" s="1"/>
      <c r="R20" s="5">
        <f t="shared" si="8"/>
        <v>2.6101609968761801E-2</v>
      </c>
      <c r="S20" s="1"/>
      <c r="T20" s="1">
        <f>SUM(OSRRefT22_0x_0)</f>
        <v>4207.82</v>
      </c>
      <c r="U20" s="1"/>
      <c r="V20" s="5">
        <f t="shared" si="9"/>
        <v>0.20064946831338515</v>
      </c>
      <c r="W20" s="1"/>
      <c r="X20" s="1">
        <f t="shared" si="10"/>
        <v>-405.98999999999978</v>
      </c>
      <c r="Y20" s="1"/>
      <c r="Z20" s="5">
        <f t="shared" si="11"/>
        <v>-9.6484640502683058E-2</v>
      </c>
    </row>
    <row r="21" spans="1:26" s="24" customFormat="1" hidden="1" outlineLevel="2" x14ac:dyDescent="0.3">
      <c r="A21" s="27"/>
      <c r="B21" s="12" t="str">
        <f>CONCATENATE("          ", "6111", " - ", "F.I.C.A.")</f>
        <v xml:space="preserve">          6111 - F.I.C.A.</v>
      </c>
      <c r="C21" s="12"/>
      <c r="D21" s="8">
        <v>1188.3599999999999</v>
      </c>
      <c r="E21" s="3"/>
      <c r="F21" s="7">
        <f t="shared" si="4"/>
        <v>8.1587312484981619E-3</v>
      </c>
      <c r="G21" s="3"/>
      <c r="H21" s="8">
        <v>1006.58</v>
      </c>
      <c r="I21" s="3"/>
      <c r="J21" s="7">
        <f t="shared" si="5"/>
        <v>4.7998664822850604E-2</v>
      </c>
      <c r="K21" s="3"/>
      <c r="L21" s="8">
        <f t="shared" si="6"/>
        <v>181.77999999999986</v>
      </c>
      <c r="M21" s="3"/>
      <c r="N21" s="7">
        <f t="shared" si="7"/>
        <v>0.18059170657076423</v>
      </c>
      <c r="O21" s="12"/>
      <c r="P21" s="8">
        <v>1188.3599999999999</v>
      </c>
      <c r="Q21" s="3"/>
      <c r="R21" s="7">
        <f t="shared" si="8"/>
        <v>8.1587312484981619E-3</v>
      </c>
      <c r="S21" s="3"/>
      <c r="T21" s="8">
        <v>1006.58</v>
      </c>
      <c r="U21" s="3"/>
      <c r="V21" s="7">
        <f t="shared" si="9"/>
        <v>4.7998664822850604E-2</v>
      </c>
      <c r="W21" s="3"/>
      <c r="X21" s="8">
        <f t="shared" si="10"/>
        <v>181.77999999999986</v>
      </c>
      <c r="Y21" s="3"/>
      <c r="Z21" s="7">
        <f t="shared" si="11"/>
        <v>0.18059170657076423</v>
      </c>
    </row>
    <row r="22" spans="1:26" s="24" customFormat="1" hidden="1" outlineLevel="2" x14ac:dyDescent="0.3">
      <c r="A22" s="27"/>
      <c r="B22" s="12" t="str">
        <f>CONCATENATE("          ", "6112", " - ", "COMPENSATION INSURANCE")</f>
        <v xml:space="preserve">          6112 - COMPENSATION INSURANCE</v>
      </c>
      <c r="C22" s="12"/>
      <c r="D22" s="8">
        <v>157.99</v>
      </c>
      <c r="E22" s="3"/>
      <c r="F22" s="7">
        <f t="shared" si="4"/>
        <v>1.0846864165322166E-3</v>
      </c>
      <c r="G22" s="3"/>
      <c r="H22" s="8">
        <v>77.87</v>
      </c>
      <c r="I22" s="3"/>
      <c r="J22" s="7">
        <f t="shared" si="5"/>
        <v>3.7132230222688477E-3</v>
      </c>
      <c r="K22" s="3"/>
      <c r="L22" s="8">
        <f t="shared" si="6"/>
        <v>80.12</v>
      </c>
      <c r="M22" s="3"/>
      <c r="N22" s="7">
        <f t="shared" si="7"/>
        <v>1.0288943110312059</v>
      </c>
      <c r="O22" s="12"/>
      <c r="P22" s="8">
        <v>157.99</v>
      </c>
      <c r="Q22" s="3"/>
      <c r="R22" s="7">
        <f t="shared" si="8"/>
        <v>1.0846864165322166E-3</v>
      </c>
      <c r="S22" s="3"/>
      <c r="T22" s="8">
        <v>77.87</v>
      </c>
      <c r="U22" s="3"/>
      <c r="V22" s="7">
        <f t="shared" si="9"/>
        <v>3.7132230222688477E-3</v>
      </c>
      <c r="W22" s="3"/>
      <c r="X22" s="8">
        <f t="shared" si="10"/>
        <v>80.12</v>
      </c>
      <c r="Y22" s="3"/>
      <c r="Z22" s="7">
        <f t="shared" si="11"/>
        <v>1.0288943110312059</v>
      </c>
    </row>
    <row r="23" spans="1:26" s="24" customFormat="1" hidden="1" outlineLevel="2" x14ac:dyDescent="0.3">
      <c r="A23" s="27"/>
      <c r="B23" s="12" t="str">
        <f>CONCATENATE("          ", "6113", " - ", "GROUP INSURANCE")</f>
        <v xml:space="preserve">          6113 - GROUP INSURANCE</v>
      </c>
      <c r="C23" s="12"/>
      <c r="D23" s="8">
        <v>1054.3499999999999</v>
      </c>
      <c r="E23" s="3"/>
      <c r="F23" s="7">
        <f t="shared" si="4"/>
        <v>7.2386804435137821E-3</v>
      </c>
      <c r="G23" s="3"/>
      <c r="H23" s="8">
        <v>1230.45</v>
      </c>
      <c r="I23" s="3"/>
      <c r="J23" s="7">
        <f t="shared" si="5"/>
        <v>5.8673882981259834E-2</v>
      </c>
      <c r="K23" s="3"/>
      <c r="L23" s="8">
        <f t="shared" si="6"/>
        <v>-176.10000000000014</v>
      </c>
      <c r="M23" s="3"/>
      <c r="N23" s="7">
        <f t="shared" si="7"/>
        <v>-0.14311837132756319</v>
      </c>
      <c r="O23" s="12"/>
      <c r="P23" s="8">
        <v>1054.3499999999999</v>
      </c>
      <c r="Q23" s="3"/>
      <c r="R23" s="7">
        <f t="shared" si="8"/>
        <v>7.2386804435137821E-3</v>
      </c>
      <c r="S23" s="3"/>
      <c r="T23" s="8">
        <v>1230.45</v>
      </c>
      <c r="U23" s="3"/>
      <c r="V23" s="7">
        <f t="shared" si="9"/>
        <v>5.8673882981259834E-2</v>
      </c>
      <c r="W23" s="3"/>
      <c r="X23" s="8">
        <f t="shared" si="10"/>
        <v>-176.10000000000014</v>
      </c>
      <c r="Y23" s="3"/>
      <c r="Z23" s="7">
        <f t="shared" si="11"/>
        <v>-0.14311837132756319</v>
      </c>
    </row>
    <row r="24" spans="1:26" s="24" customFormat="1" hidden="1" outlineLevel="2" x14ac:dyDescent="0.3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8">
        <v>31.34</v>
      </c>
      <c r="E24" s="3"/>
      <c r="F24" s="7">
        <f t="shared" si="4"/>
        <v>2.1516597439154165E-4</v>
      </c>
      <c r="G24" s="3"/>
      <c r="H24" s="8">
        <v>34.200000000000003</v>
      </c>
      <c r="I24" s="3"/>
      <c r="J24" s="7">
        <f t="shared" si="5"/>
        <v>1.6308235181917887E-3</v>
      </c>
      <c r="K24" s="3"/>
      <c r="L24" s="8">
        <f t="shared" si="6"/>
        <v>-2.860000000000003</v>
      </c>
      <c r="M24" s="3"/>
      <c r="N24" s="7">
        <f t="shared" si="7"/>
        <v>-8.3625730994152131E-2</v>
      </c>
      <c r="O24" s="12"/>
      <c r="P24" s="8">
        <v>31.34</v>
      </c>
      <c r="Q24" s="3"/>
      <c r="R24" s="7">
        <f t="shared" si="8"/>
        <v>2.1516597439154165E-4</v>
      </c>
      <c r="S24" s="3"/>
      <c r="T24" s="8">
        <v>34.200000000000003</v>
      </c>
      <c r="U24" s="3"/>
      <c r="V24" s="7">
        <f t="shared" si="9"/>
        <v>1.6308235181917887E-3</v>
      </c>
      <c r="W24" s="3"/>
      <c r="X24" s="8">
        <f t="shared" si="10"/>
        <v>-2.860000000000003</v>
      </c>
      <c r="Y24" s="3"/>
      <c r="Z24" s="7">
        <f t="shared" si="11"/>
        <v>-8.3625730994152131E-2</v>
      </c>
    </row>
    <row r="25" spans="1:26" s="24" customFormat="1" hidden="1" outlineLevel="2" x14ac:dyDescent="0.3">
      <c r="A25" s="27"/>
      <c r="B25" s="12" t="str">
        <f>CONCATENATE("          ", "6115", " - ", "P.E.R.S.")</f>
        <v xml:space="preserve">          6115 - P.E.R.S.</v>
      </c>
      <c r="C25" s="12"/>
      <c r="D25" s="8">
        <v>586.58000000000004</v>
      </c>
      <c r="E25" s="3"/>
      <c r="F25" s="7">
        <f t="shared" si="4"/>
        <v>4.0271875321822113E-3</v>
      </c>
      <c r="G25" s="3"/>
      <c r="H25" s="8">
        <v>939.44</v>
      </c>
      <c r="I25" s="3"/>
      <c r="J25" s="7">
        <f t="shared" si="5"/>
        <v>4.4797100758189885E-2</v>
      </c>
      <c r="K25" s="3"/>
      <c r="L25" s="8">
        <f t="shared" si="6"/>
        <v>-352.86</v>
      </c>
      <c r="M25" s="3"/>
      <c r="N25" s="7">
        <f t="shared" si="7"/>
        <v>-0.37560674444349823</v>
      </c>
      <c r="O25" s="12"/>
      <c r="P25" s="8">
        <v>586.58000000000004</v>
      </c>
      <c r="Q25" s="3"/>
      <c r="R25" s="7">
        <f t="shared" si="8"/>
        <v>4.0271875321822113E-3</v>
      </c>
      <c r="S25" s="3"/>
      <c r="T25" s="8">
        <v>939.44</v>
      </c>
      <c r="U25" s="3"/>
      <c r="V25" s="7">
        <f t="shared" si="9"/>
        <v>4.4797100758189885E-2</v>
      </c>
      <c r="W25" s="3"/>
      <c r="X25" s="8">
        <f t="shared" si="10"/>
        <v>-352.86</v>
      </c>
      <c r="Y25" s="3"/>
      <c r="Z25" s="7">
        <f t="shared" si="11"/>
        <v>-0.37560674444349823</v>
      </c>
    </row>
    <row r="26" spans="1:26" s="24" customFormat="1" hidden="1" outlineLevel="2" x14ac:dyDescent="0.3">
      <c r="A26" s="27"/>
      <c r="B26" s="12" t="str">
        <f>CONCATENATE("          ", "6117", " - ", "RETIREMENT STAFF HOURLY")</f>
        <v xml:space="preserve">          6117 - RETIREMENT STAFF HOURLY</v>
      </c>
      <c r="C26" s="12"/>
      <c r="D26" s="8">
        <v>102.54</v>
      </c>
      <c r="E26" s="3"/>
      <c r="F26" s="7">
        <f t="shared" si="4"/>
        <v>7.039923105969586E-4</v>
      </c>
      <c r="G26" s="3"/>
      <c r="H26" s="8">
        <v>100</v>
      </c>
      <c r="I26" s="3"/>
      <c r="J26" s="7">
        <f t="shared" si="5"/>
        <v>4.768489819274236E-3</v>
      </c>
      <c r="K26" s="3"/>
      <c r="L26" s="8">
        <f t="shared" si="6"/>
        <v>2.5400000000000063</v>
      </c>
      <c r="M26" s="3"/>
      <c r="N26" s="7">
        <f t="shared" si="7"/>
        <v>2.5400000000000061E-2</v>
      </c>
      <c r="O26" s="12"/>
      <c r="P26" s="8">
        <v>102.54</v>
      </c>
      <c r="Q26" s="3"/>
      <c r="R26" s="7">
        <f t="shared" si="8"/>
        <v>7.039923105969586E-4</v>
      </c>
      <c r="S26" s="3"/>
      <c r="T26" s="8">
        <v>100</v>
      </c>
      <c r="U26" s="3"/>
      <c r="V26" s="7">
        <f t="shared" si="9"/>
        <v>4.768489819274236E-3</v>
      </c>
      <c r="W26" s="3"/>
      <c r="X26" s="8">
        <f t="shared" si="10"/>
        <v>2.5400000000000063</v>
      </c>
      <c r="Y26" s="3"/>
      <c r="Z26" s="7">
        <f t="shared" si="11"/>
        <v>2.5400000000000061E-2</v>
      </c>
    </row>
    <row r="27" spans="1:26" s="24" customFormat="1" hidden="1" outlineLevel="2" x14ac:dyDescent="0.3">
      <c r="A27" s="27"/>
      <c r="B27" s="12" t="str">
        <f>CONCATENATE("          ", "6118", " - ", "VACATION")</f>
        <v xml:space="preserve">          6118 - VACATION</v>
      </c>
      <c r="C27" s="12"/>
      <c r="D27" s="8">
        <v>413.76</v>
      </c>
      <c r="E27" s="3"/>
      <c r="F27" s="7">
        <f t="shared" si="4"/>
        <v>2.840685180735299E-3</v>
      </c>
      <c r="G27" s="3"/>
      <c r="H27" s="8">
        <v>520.02</v>
      </c>
      <c r="I27" s="3"/>
      <c r="J27" s="7">
        <f t="shared" si="5"/>
        <v>2.4797100758189881E-2</v>
      </c>
      <c r="K27" s="3"/>
      <c r="L27" s="8">
        <f t="shared" si="6"/>
        <v>-106.25999999999999</v>
      </c>
      <c r="M27" s="3"/>
      <c r="N27" s="7">
        <f t="shared" si="7"/>
        <v>-0.20433829468097381</v>
      </c>
      <c r="O27" s="12"/>
      <c r="P27" s="8">
        <v>413.76</v>
      </c>
      <c r="Q27" s="3"/>
      <c r="R27" s="7">
        <f t="shared" si="8"/>
        <v>2.840685180735299E-3</v>
      </c>
      <c r="S27" s="3"/>
      <c r="T27" s="8">
        <v>520.02</v>
      </c>
      <c r="U27" s="3"/>
      <c r="V27" s="7">
        <f t="shared" si="9"/>
        <v>2.4797100758189881E-2</v>
      </c>
      <c r="W27" s="3"/>
      <c r="X27" s="8">
        <f t="shared" si="10"/>
        <v>-106.25999999999999</v>
      </c>
      <c r="Y27" s="3"/>
      <c r="Z27" s="7">
        <f t="shared" si="11"/>
        <v>-0.20433829468097381</v>
      </c>
    </row>
    <row r="28" spans="1:26" s="24" customFormat="1" hidden="1" outlineLevel="2" x14ac:dyDescent="0.3">
      <c r="A28" s="27"/>
      <c r="B28" s="12" t="str">
        <f>CONCATENATE("          ", "6119", " - ", "SICK LEAVE")</f>
        <v xml:space="preserve">          6119 - SICK LEAVE</v>
      </c>
      <c r="C28" s="12"/>
      <c r="D28" s="8">
        <v>266.91000000000003</v>
      </c>
      <c r="E28" s="3"/>
      <c r="F28" s="7">
        <f t="shared" si="4"/>
        <v>1.8324808623116269E-3</v>
      </c>
      <c r="G28" s="3"/>
      <c r="H28" s="8">
        <v>299.26</v>
      </c>
      <c r="I28" s="3"/>
      <c r="J28" s="7">
        <f t="shared" si="5"/>
        <v>1.4270182633160077E-2</v>
      </c>
      <c r="K28" s="3"/>
      <c r="L28" s="8">
        <f t="shared" si="6"/>
        <v>-32.349999999999966</v>
      </c>
      <c r="M28" s="3"/>
      <c r="N28" s="7">
        <f t="shared" si="7"/>
        <v>-0.10809997995054457</v>
      </c>
      <c r="O28" s="12"/>
      <c r="P28" s="8">
        <v>266.91000000000003</v>
      </c>
      <c r="Q28" s="3"/>
      <c r="R28" s="7">
        <f t="shared" si="8"/>
        <v>1.8324808623116269E-3</v>
      </c>
      <c r="S28" s="3"/>
      <c r="T28" s="8">
        <v>299.26</v>
      </c>
      <c r="U28" s="3"/>
      <c r="V28" s="7">
        <f t="shared" si="9"/>
        <v>1.4270182633160077E-2</v>
      </c>
      <c r="W28" s="3"/>
      <c r="X28" s="8">
        <f t="shared" si="10"/>
        <v>-32.349999999999966</v>
      </c>
      <c r="Y28" s="3"/>
      <c r="Z28" s="7">
        <f t="shared" si="11"/>
        <v>-0.10809997995054457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18970.560000000001</v>
      </c>
      <c r="E29" s="1"/>
      <c r="F29" s="5">
        <f t="shared" ref="F29:F33" si="12">IF(D$12=0,0,D29/D$12)</f>
        <v>0.13024310871580105</v>
      </c>
      <c r="G29" s="1"/>
      <c r="H29" s="1">
        <f>SUM(OSRRefH22_1x_0)</f>
        <v>15605.18</v>
      </c>
      <c r="I29" s="1"/>
      <c r="J29" s="5">
        <f t="shared" ref="J29:J33" si="13">IF(H$12=0,0,H29/H$12)</f>
        <v>0.7441314195794192</v>
      </c>
      <c r="K29" s="1"/>
      <c r="L29" s="1">
        <f t="shared" ref="L29:L33" si="14">+D29-H29</f>
        <v>3365.380000000001</v>
      </c>
      <c r="M29" s="1"/>
      <c r="N29" s="5">
        <f t="shared" ref="N29:N33" si="15">IF(H29=0,0,L29/H29)</f>
        <v>0.21565787770471093</v>
      </c>
      <c r="O29" s="14"/>
      <c r="P29" s="1">
        <f>SUM(OSRRefP22_1x_0)</f>
        <v>18970.560000000001</v>
      </c>
      <c r="Q29" s="1"/>
      <c r="R29" s="5">
        <f t="shared" ref="R29:R33" si="16">IF(P$12=0,0,P29/P$12)</f>
        <v>0.13024310871580105</v>
      </c>
      <c r="S29" s="1"/>
      <c r="T29" s="1">
        <f>SUM(OSRRefT22_1x_0)</f>
        <v>15605.18</v>
      </c>
      <c r="U29" s="1"/>
      <c r="V29" s="5">
        <f t="shared" ref="V29:V33" si="17">IF(T$12=0,0,T29/T$12)</f>
        <v>0.7441314195794192</v>
      </c>
      <c r="W29" s="1"/>
      <c r="X29" s="1">
        <f t="shared" ref="X29:X33" si="18">+P29-T29</f>
        <v>3365.380000000001</v>
      </c>
      <c r="Y29" s="1"/>
      <c r="Z29" s="5">
        <f t="shared" ref="Z29:Z33" si="19">IF(T29=0,0,X29/T29)</f>
        <v>0.21565787770471093</v>
      </c>
    </row>
    <row r="30" spans="1:26" s="24" customFormat="1" hidden="1" outlineLevel="2" x14ac:dyDescent="0.3">
      <c r="A30" s="27"/>
      <c r="B30" s="12" t="str">
        <f>CONCATENATE("          ", "6001", " - ", "ADMINISTRATIVE SALARIES")</f>
        <v xml:space="preserve">          6001 - ADMINISTRATIVE SALARIES</v>
      </c>
      <c r="C30" s="12"/>
      <c r="D30" s="8">
        <v>5599.1</v>
      </c>
      <c r="E30" s="3"/>
      <c r="F30" s="7">
        <f t="shared" si="12"/>
        <v>3.8440836222580758E-2</v>
      </c>
      <c r="G30" s="3"/>
      <c r="H30" s="8">
        <v>5257.72</v>
      </c>
      <c r="I30" s="3"/>
      <c r="J30" s="7">
        <f t="shared" si="13"/>
        <v>0.25071384292594534</v>
      </c>
      <c r="K30" s="3"/>
      <c r="L30" s="8">
        <f t="shared" si="14"/>
        <v>341.38000000000011</v>
      </c>
      <c r="M30" s="3"/>
      <c r="N30" s="7">
        <f t="shared" si="15"/>
        <v>6.4929284937197129E-2</v>
      </c>
      <c r="O30" s="12"/>
      <c r="P30" s="8">
        <v>5599.1</v>
      </c>
      <c r="Q30" s="3"/>
      <c r="R30" s="7">
        <f t="shared" si="16"/>
        <v>3.8440836222580758E-2</v>
      </c>
      <c r="S30" s="3"/>
      <c r="T30" s="8">
        <v>5257.72</v>
      </c>
      <c r="U30" s="3"/>
      <c r="V30" s="7">
        <f t="shared" si="17"/>
        <v>0.25071384292594534</v>
      </c>
      <c r="W30" s="3"/>
      <c r="X30" s="8">
        <f t="shared" si="18"/>
        <v>341.38000000000011</v>
      </c>
      <c r="Y30" s="3"/>
      <c r="Z30" s="7">
        <f t="shared" si="19"/>
        <v>6.4929284937197129E-2</v>
      </c>
    </row>
    <row r="31" spans="1:26" s="24" customFormat="1" hidden="1" outlineLevel="2" x14ac:dyDescent="0.3">
      <c r="A31" s="27"/>
      <c r="B31" s="12" t="str">
        <f>CONCATENATE("          ", "6002", " - ", "STAFF SALARIES")</f>
        <v xml:space="preserve">          6002 - STAFF SALARIES</v>
      </c>
      <c r="C31" s="12"/>
      <c r="D31" s="8">
        <v>5113.62</v>
      </c>
      <c r="E31" s="3"/>
      <c r="F31" s="7">
        <f t="shared" si="12"/>
        <v>3.5107754625656518E-2</v>
      </c>
      <c r="G31" s="3"/>
      <c r="H31" s="8">
        <v>2054.0700000000002</v>
      </c>
      <c r="I31" s="3"/>
      <c r="J31" s="7">
        <f t="shared" si="13"/>
        <v>9.7948118830766304E-2</v>
      </c>
      <c r="K31" s="3"/>
      <c r="L31" s="8">
        <f t="shared" si="14"/>
        <v>3059.5499999999997</v>
      </c>
      <c r="M31" s="3"/>
      <c r="N31" s="7">
        <f t="shared" si="15"/>
        <v>1.4895061998860797</v>
      </c>
      <c r="O31" s="12"/>
      <c r="P31" s="8">
        <v>5113.62</v>
      </c>
      <c r="Q31" s="3"/>
      <c r="R31" s="7">
        <f t="shared" si="16"/>
        <v>3.5107754625656518E-2</v>
      </c>
      <c r="S31" s="3"/>
      <c r="T31" s="8">
        <v>2054.0700000000002</v>
      </c>
      <c r="U31" s="3"/>
      <c r="V31" s="7">
        <f t="shared" si="17"/>
        <v>9.7948118830766304E-2</v>
      </c>
      <c r="W31" s="3"/>
      <c r="X31" s="8">
        <f t="shared" si="18"/>
        <v>3059.5499999999997</v>
      </c>
      <c r="Y31" s="3"/>
      <c r="Z31" s="7">
        <f t="shared" si="19"/>
        <v>1.4895061998860797</v>
      </c>
    </row>
    <row r="32" spans="1:26" s="24" customFormat="1" hidden="1" outlineLevel="2" x14ac:dyDescent="0.3">
      <c r="A32" s="27"/>
      <c r="B32" s="12" t="str">
        <f>CONCATENATE("          ", "6005", " - ", "TEMPORARY WAGES-HOURLY")</f>
        <v xml:space="preserve">          6005 - TEMPORARY WAGES-HOURLY</v>
      </c>
      <c r="C32" s="12"/>
      <c r="D32" s="8">
        <v>6179.64</v>
      </c>
      <c r="E32" s="3"/>
      <c r="F32" s="7">
        <f t="shared" si="12"/>
        <v>4.242655590264667E-2</v>
      </c>
      <c r="G32" s="3"/>
      <c r="H32" s="8">
        <v>6737.39</v>
      </c>
      <c r="I32" s="3"/>
      <c r="J32" s="7">
        <f t="shared" si="13"/>
        <v>0.32127175623480048</v>
      </c>
      <c r="K32" s="3"/>
      <c r="L32" s="8">
        <f t="shared" si="14"/>
        <v>-557.75</v>
      </c>
      <c r="M32" s="3"/>
      <c r="N32" s="7">
        <f t="shared" si="15"/>
        <v>-8.2784282934489459E-2</v>
      </c>
      <c r="O32" s="12"/>
      <c r="P32" s="8">
        <v>6179.64</v>
      </c>
      <c r="Q32" s="3"/>
      <c r="R32" s="7">
        <f t="shared" si="16"/>
        <v>4.242655590264667E-2</v>
      </c>
      <c r="S32" s="3"/>
      <c r="T32" s="8">
        <v>6737.39</v>
      </c>
      <c r="U32" s="3"/>
      <c r="V32" s="7">
        <f t="shared" si="17"/>
        <v>0.32127175623480048</v>
      </c>
      <c r="W32" s="3"/>
      <c r="X32" s="8">
        <f t="shared" si="18"/>
        <v>-557.75</v>
      </c>
      <c r="Y32" s="3"/>
      <c r="Z32" s="7">
        <f t="shared" si="19"/>
        <v>-8.2784282934489459E-2</v>
      </c>
    </row>
    <row r="33" spans="1:26" s="24" customFormat="1" hidden="1" outlineLevel="2" x14ac:dyDescent="0.3">
      <c r="A33" s="27"/>
      <c r="B33" s="12" t="str">
        <f>CONCATENATE("          ", "6007", " - ", "STUDENT HOURLY")</f>
        <v xml:space="preserve">          6007 - STUDENT HOURLY</v>
      </c>
      <c r="C33" s="12"/>
      <c r="D33" s="8">
        <v>2078.1999999999998</v>
      </c>
      <c r="E33" s="3"/>
      <c r="F33" s="7">
        <f t="shared" si="12"/>
        <v>1.4267961964917097E-2</v>
      </c>
      <c r="G33" s="3"/>
      <c r="H33" s="8">
        <v>1556</v>
      </c>
      <c r="I33" s="3"/>
      <c r="J33" s="7">
        <f t="shared" si="13"/>
        <v>7.4197701587907117E-2</v>
      </c>
      <c r="K33" s="3"/>
      <c r="L33" s="8">
        <f t="shared" si="14"/>
        <v>522.19999999999982</v>
      </c>
      <c r="M33" s="3"/>
      <c r="N33" s="7">
        <f t="shared" si="15"/>
        <v>0.33560411311053973</v>
      </c>
      <c r="O33" s="12"/>
      <c r="P33" s="8">
        <v>2078.1999999999998</v>
      </c>
      <c r="Q33" s="3"/>
      <c r="R33" s="7">
        <f t="shared" si="16"/>
        <v>1.4267961964917097E-2</v>
      </c>
      <c r="S33" s="3"/>
      <c r="T33" s="8">
        <v>1556</v>
      </c>
      <c r="U33" s="3"/>
      <c r="V33" s="7">
        <f t="shared" si="17"/>
        <v>7.4197701587907117E-2</v>
      </c>
      <c r="W33" s="3"/>
      <c r="X33" s="8">
        <f t="shared" si="18"/>
        <v>522.19999999999982</v>
      </c>
      <c r="Y33" s="3"/>
      <c r="Z33" s="7">
        <f t="shared" si="19"/>
        <v>0.33560411311053973</v>
      </c>
    </row>
    <row r="34" spans="1:26" s="29" customFormat="1" outlineLevel="1" collapsed="1" x14ac:dyDescent="0.3">
      <c r="A34" s="28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44.12</v>
      </c>
      <c r="E34" s="1"/>
      <c r="F34" s="5">
        <f t="shared" ref="F34:F45" si="20">IF(D$12=0,0,D34/D$12)</f>
        <v>3.0290755552504203E-4</v>
      </c>
      <c r="G34" s="1"/>
      <c r="H34" s="1">
        <f>SUM(OSRRefH22_2x_0)</f>
        <v>246.33</v>
      </c>
      <c r="I34" s="1"/>
      <c r="J34" s="5">
        <f t="shared" ref="J34:J45" si="21">IF(H$12=0,0,H34/H$12)</f>
        <v>1.1746220971818227E-2</v>
      </c>
      <c r="K34" s="1"/>
      <c r="L34" s="1">
        <f t="shared" ref="L34:L45" si="22">+D34-H34</f>
        <v>-202.21</v>
      </c>
      <c r="M34" s="1"/>
      <c r="N34" s="5">
        <f t="shared" ref="N34:N45" si="23">IF(H34=0,0,L34/H34)</f>
        <v>-0.82089067511062397</v>
      </c>
      <c r="O34" s="14"/>
      <c r="P34" s="1">
        <f>SUM(OSRRefP22_2x_0)</f>
        <v>44.12</v>
      </c>
      <c r="Q34" s="1"/>
      <c r="R34" s="5">
        <f t="shared" ref="R34:R45" si="24">IF(P$12=0,0,P34/P$12)</f>
        <v>3.0290755552504203E-4</v>
      </c>
      <c r="S34" s="1"/>
      <c r="T34" s="1">
        <f>SUM(OSRRefT22_2x_0)</f>
        <v>246.33</v>
      </c>
      <c r="U34" s="1"/>
      <c r="V34" s="5">
        <f t="shared" ref="V34:V45" si="25">IF(T$12=0,0,T34/T$12)</f>
        <v>1.1746220971818227E-2</v>
      </c>
      <c r="W34" s="1"/>
      <c r="X34" s="1">
        <f t="shared" ref="X34:X45" si="26">+P34-T34</f>
        <v>-202.21</v>
      </c>
      <c r="Y34" s="1"/>
      <c r="Z34" s="5">
        <f t="shared" ref="Z34:Z45" si="27">IF(T34=0,0,X34/T34)</f>
        <v>-0.82089067511062397</v>
      </c>
    </row>
    <row r="35" spans="1:26" s="24" customFormat="1" hidden="1" outlineLevel="2" x14ac:dyDescent="0.3">
      <c r="A35" s="27"/>
      <c r="B35" s="12" t="str">
        <f>CONCATENATE("          ", "6381", " - ", "BANK/CREDIT CARD FEES")</f>
        <v xml:space="preserve">          6381 - BANK/CREDIT CARD FEES</v>
      </c>
      <c r="C35" s="12"/>
      <c r="D35" s="8">
        <v>44.12</v>
      </c>
      <c r="E35" s="3"/>
      <c r="F35" s="7">
        <f t="shared" si="20"/>
        <v>3.0290755552504203E-4</v>
      </c>
      <c r="G35" s="3"/>
      <c r="H35" s="8">
        <v>246.33</v>
      </c>
      <c r="I35" s="3"/>
      <c r="J35" s="7">
        <f t="shared" si="21"/>
        <v>1.1746220971818227E-2</v>
      </c>
      <c r="K35" s="3"/>
      <c r="L35" s="8">
        <f t="shared" si="22"/>
        <v>-202.21</v>
      </c>
      <c r="M35" s="3"/>
      <c r="N35" s="7">
        <f t="shared" si="23"/>
        <v>-0.82089067511062397</v>
      </c>
      <c r="O35" s="12"/>
      <c r="P35" s="8">
        <v>44.12</v>
      </c>
      <c r="Q35" s="3"/>
      <c r="R35" s="7">
        <f t="shared" si="24"/>
        <v>3.0290755552504203E-4</v>
      </c>
      <c r="S35" s="3"/>
      <c r="T35" s="8">
        <v>246.33</v>
      </c>
      <c r="U35" s="3"/>
      <c r="V35" s="7">
        <f t="shared" si="25"/>
        <v>1.1746220971818227E-2</v>
      </c>
      <c r="W35" s="3"/>
      <c r="X35" s="8">
        <f t="shared" si="26"/>
        <v>-202.21</v>
      </c>
      <c r="Y35" s="3"/>
      <c r="Z35" s="7">
        <f t="shared" si="27"/>
        <v>-0.82089067511062397</v>
      </c>
    </row>
    <row r="36" spans="1:26" s="29" customFormat="1" outlineLevel="1" collapsed="1" x14ac:dyDescent="0.3">
      <c r="A36" s="28"/>
      <c r="B36" s="14" t="str">
        <f>CONCATENATE("     ","Insurance                                         ")</f>
        <v xml:space="preserve">     Insurance                                         </v>
      </c>
      <c r="C36" s="14"/>
      <c r="D36" s="1">
        <f>SUM(OSRRefD22_3x_0)</f>
        <v>39.43</v>
      </c>
      <c r="E36" s="1"/>
      <c r="F36" s="5">
        <f t="shared" si="20"/>
        <v>2.7070818028903916E-4</v>
      </c>
      <c r="G36" s="1"/>
      <c r="H36" s="1">
        <f>SUM(OSRRefH22_3x_0)</f>
        <v>29.01</v>
      </c>
      <c r="I36" s="1"/>
      <c r="J36" s="5">
        <f t="shared" si="21"/>
        <v>1.383338896571456E-3</v>
      </c>
      <c r="K36" s="1"/>
      <c r="L36" s="1">
        <f t="shared" si="22"/>
        <v>10.419999999999998</v>
      </c>
      <c r="M36" s="1"/>
      <c r="N36" s="5">
        <f t="shared" si="23"/>
        <v>0.35918648741813158</v>
      </c>
      <c r="O36" s="14"/>
      <c r="P36" s="1">
        <f>SUM(OSRRefP22_3x_0)</f>
        <v>39.43</v>
      </c>
      <c r="Q36" s="1"/>
      <c r="R36" s="5">
        <f t="shared" si="24"/>
        <v>2.7070818028903916E-4</v>
      </c>
      <c r="S36" s="1"/>
      <c r="T36" s="1">
        <f>SUM(OSRRefT22_3x_0)</f>
        <v>29.01</v>
      </c>
      <c r="U36" s="1"/>
      <c r="V36" s="5">
        <f t="shared" si="25"/>
        <v>1.383338896571456E-3</v>
      </c>
      <c r="W36" s="1"/>
      <c r="X36" s="1">
        <f t="shared" si="26"/>
        <v>10.419999999999998</v>
      </c>
      <c r="Y36" s="1"/>
      <c r="Z36" s="5">
        <f t="shared" si="27"/>
        <v>0.35918648741813158</v>
      </c>
    </row>
    <row r="37" spans="1:26" s="24" customFormat="1" hidden="1" outlineLevel="2" x14ac:dyDescent="0.3">
      <c r="A37" s="27"/>
      <c r="B37" s="12" t="str">
        <f>CONCATENATE("          ", "6314", " - ", "LIABILITY INSURANCE")</f>
        <v xml:space="preserve">          6314 - LIABILITY INSURANCE</v>
      </c>
      <c r="C37" s="12"/>
      <c r="D37" s="8">
        <v>39.43</v>
      </c>
      <c r="E37" s="3"/>
      <c r="F37" s="7">
        <f t="shared" si="20"/>
        <v>2.7070818028903916E-4</v>
      </c>
      <c r="G37" s="3"/>
      <c r="H37" s="8">
        <v>29.01</v>
      </c>
      <c r="I37" s="3"/>
      <c r="J37" s="7">
        <f t="shared" si="21"/>
        <v>1.383338896571456E-3</v>
      </c>
      <c r="K37" s="3"/>
      <c r="L37" s="8">
        <f t="shared" si="22"/>
        <v>10.419999999999998</v>
      </c>
      <c r="M37" s="3"/>
      <c r="N37" s="7">
        <f t="shared" si="23"/>
        <v>0.35918648741813158</v>
      </c>
      <c r="O37" s="12"/>
      <c r="P37" s="8">
        <v>39.43</v>
      </c>
      <c r="Q37" s="3"/>
      <c r="R37" s="7">
        <f t="shared" si="24"/>
        <v>2.7070818028903916E-4</v>
      </c>
      <c r="S37" s="3"/>
      <c r="T37" s="8">
        <v>29.01</v>
      </c>
      <c r="U37" s="3"/>
      <c r="V37" s="7">
        <f t="shared" si="25"/>
        <v>1.383338896571456E-3</v>
      </c>
      <c r="W37" s="3"/>
      <c r="X37" s="8">
        <f t="shared" si="26"/>
        <v>10.419999999999998</v>
      </c>
      <c r="Y37" s="3"/>
      <c r="Z37" s="7">
        <f t="shared" si="27"/>
        <v>0.35918648741813158</v>
      </c>
    </row>
    <row r="38" spans="1:26" s="29" customFormat="1" outlineLevel="1" collapsed="1" x14ac:dyDescent="0.3">
      <c r="A38" s="28"/>
      <c r="B38" s="14" t="str">
        <f>CONCATENATE("     ","Rent                                              ")</f>
        <v xml:space="preserve">     Rent                                              </v>
      </c>
      <c r="C38" s="14"/>
      <c r="D38" s="1">
        <f>SUM(OSRRefD22_4x_0)</f>
        <v>800</v>
      </c>
      <c r="E38" s="1"/>
      <c r="F38" s="5">
        <f t="shared" si="20"/>
        <v>5.4924307438810891E-3</v>
      </c>
      <c r="G38" s="1"/>
      <c r="H38" s="1">
        <f>SUM(OSRRefH22_4x_0)</f>
        <v>800</v>
      </c>
      <c r="I38" s="1"/>
      <c r="J38" s="5">
        <f t="shared" si="21"/>
        <v>3.8147918554193888E-2</v>
      </c>
      <c r="K38" s="1"/>
      <c r="L38" s="1">
        <f t="shared" si="22"/>
        <v>0</v>
      </c>
      <c r="M38" s="1"/>
      <c r="N38" s="5">
        <f t="shared" si="23"/>
        <v>0</v>
      </c>
      <c r="O38" s="14"/>
      <c r="P38" s="1">
        <f>SUM(OSRRefP22_4x_0)</f>
        <v>800</v>
      </c>
      <c r="Q38" s="1"/>
      <c r="R38" s="5">
        <f t="shared" si="24"/>
        <v>5.4924307438810891E-3</v>
      </c>
      <c r="S38" s="1"/>
      <c r="T38" s="1">
        <f>SUM(OSRRefT22_4x_0)</f>
        <v>800</v>
      </c>
      <c r="U38" s="1"/>
      <c r="V38" s="5">
        <f t="shared" si="25"/>
        <v>3.8147918554193888E-2</v>
      </c>
      <c r="W38" s="1"/>
      <c r="X38" s="1">
        <f t="shared" si="26"/>
        <v>0</v>
      </c>
      <c r="Y38" s="1"/>
      <c r="Z38" s="5">
        <f t="shared" si="27"/>
        <v>0</v>
      </c>
    </row>
    <row r="39" spans="1:26" s="24" customFormat="1" hidden="1" outlineLevel="2" x14ac:dyDescent="0.3">
      <c r="A39" s="27"/>
      <c r="B39" s="12" t="str">
        <f>CONCATENATE("          ", "6273", " - ", "RENT")</f>
        <v xml:space="preserve">          6273 - RENT</v>
      </c>
      <c r="C39" s="12"/>
      <c r="D39" s="8">
        <v>800</v>
      </c>
      <c r="E39" s="3"/>
      <c r="F39" s="7">
        <f t="shared" si="20"/>
        <v>5.4924307438810891E-3</v>
      </c>
      <c r="G39" s="3"/>
      <c r="H39" s="8">
        <v>800</v>
      </c>
      <c r="I39" s="3"/>
      <c r="J39" s="7">
        <f t="shared" si="21"/>
        <v>3.8147918554193888E-2</v>
      </c>
      <c r="K39" s="3"/>
      <c r="L39" s="8">
        <f t="shared" si="22"/>
        <v>0</v>
      </c>
      <c r="M39" s="3"/>
      <c r="N39" s="7">
        <f t="shared" si="23"/>
        <v>0</v>
      </c>
      <c r="O39" s="12"/>
      <c r="P39" s="8">
        <v>800</v>
      </c>
      <c r="Q39" s="3"/>
      <c r="R39" s="7">
        <f t="shared" si="24"/>
        <v>5.4924307438810891E-3</v>
      </c>
      <c r="S39" s="3"/>
      <c r="T39" s="8">
        <v>800</v>
      </c>
      <c r="U39" s="3"/>
      <c r="V39" s="7">
        <f t="shared" si="25"/>
        <v>3.8147918554193888E-2</v>
      </c>
      <c r="W39" s="3"/>
      <c r="X39" s="8">
        <f t="shared" si="26"/>
        <v>0</v>
      </c>
      <c r="Y39" s="3"/>
      <c r="Z39" s="7">
        <f t="shared" si="27"/>
        <v>0</v>
      </c>
    </row>
    <row r="40" spans="1:26" s="29" customFormat="1" outlineLevel="1" collapsed="1" x14ac:dyDescent="0.3">
      <c r="A40" s="28"/>
      <c r="B40" s="14" t="str">
        <f>CONCATENATE("     ","Repair and Maintenance                            ")</f>
        <v xml:space="preserve">     Repair and Maintenance                            </v>
      </c>
      <c r="C40" s="14"/>
      <c r="D40" s="1">
        <f>SUM(OSRRefD22_5x_0)</f>
        <v>122000.62</v>
      </c>
      <c r="E40" s="1"/>
      <c r="F40" s="5">
        <f t="shared" si="20"/>
        <v>0.83759994507569258</v>
      </c>
      <c r="G40" s="1"/>
      <c r="H40" s="1">
        <f>SUM(OSRRefH22_5x_0)</f>
        <v>0</v>
      </c>
      <c r="I40" s="1"/>
      <c r="J40" s="5">
        <f t="shared" si="21"/>
        <v>0</v>
      </c>
      <c r="K40" s="1"/>
      <c r="L40" s="1">
        <f t="shared" si="22"/>
        <v>122000.62</v>
      </c>
      <c r="M40" s="1"/>
      <c r="N40" s="5">
        <f t="shared" si="23"/>
        <v>0</v>
      </c>
      <c r="O40" s="14"/>
      <c r="P40" s="1">
        <f>SUM(OSRRefP22_5x_0)</f>
        <v>122000.62</v>
      </c>
      <c r="Q40" s="1"/>
      <c r="R40" s="5">
        <f t="shared" si="24"/>
        <v>0.83759994507569258</v>
      </c>
      <c r="S40" s="1"/>
      <c r="T40" s="1">
        <f>SUM(OSRRefT22_5x_0)</f>
        <v>0</v>
      </c>
      <c r="U40" s="1"/>
      <c r="V40" s="5">
        <f t="shared" si="25"/>
        <v>0</v>
      </c>
      <c r="W40" s="1"/>
      <c r="X40" s="1">
        <f t="shared" si="26"/>
        <v>122000.62</v>
      </c>
      <c r="Y40" s="1"/>
      <c r="Z40" s="5">
        <f t="shared" si="27"/>
        <v>0</v>
      </c>
    </row>
    <row r="41" spans="1:26" s="24" customFormat="1" hidden="1" outlineLevel="2" x14ac:dyDescent="0.3">
      <c r="A41" s="27"/>
      <c r="B41" s="12" t="str">
        <f>CONCATENATE("          ", "6373", " - ", "MAINTENANCE CONTRACTS")</f>
        <v xml:space="preserve">          6373 - MAINTENANCE CONTRACTS</v>
      </c>
      <c r="C41" s="12"/>
      <c r="D41" s="8">
        <v>122000.62</v>
      </c>
      <c r="E41" s="3"/>
      <c r="F41" s="7">
        <f t="shared" si="20"/>
        <v>0.83759994507569258</v>
      </c>
      <c r="G41" s="3"/>
      <c r="H41" s="8"/>
      <c r="I41" s="3"/>
      <c r="J41" s="7">
        <f t="shared" si="21"/>
        <v>0</v>
      </c>
      <c r="K41" s="3"/>
      <c r="L41" s="8">
        <f t="shared" si="22"/>
        <v>122000.62</v>
      </c>
      <c r="M41" s="3"/>
      <c r="N41" s="7">
        <f t="shared" si="23"/>
        <v>0</v>
      </c>
      <c r="O41" s="12"/>
      <c r="P41" s="8">
        <v>122000.62</v>
      </c>
      <c r="Q41" s="3"/>
      <c r="R41" s="7">
        <f t="shared" si="24"/>
        <v>0.83759994507569258</v>
      </c>
      <c r="S41" s="3"/>
      <c r="T41" s="8"/>
      <c r="U41" s="3"/>
      <c r="V41" s="7">
        <f t="shared" si="25"/>
        <v>0</v>
      </c>
      <c r="W41" s="3"/>
      <c r="X41" s="8">
        <f t="shared" si="26"/>
        <v>122000.62</v>
      </c>
      <c r="Y41" s="3"/>
      <c r="Z41" s="7">
        <f t="shared" si="27"/>
        <v>0</v>
      </c>
    </row>
    <row r="42" spans="1:26" s="29" customFormat="1" outlineLevel="1" collapsed="1" x14ac:dyDescent="0.3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SUM(OSRRefD22_6x_0)</f>
        <v>356.71</v>
      </c>
      <c r="E42" s="1"/>
      <c r="F42" s="5">
        <f t="shared" si="20"/>
        <v>2.449006213312279E-3</v>
      </c>
      <c r="G42" s="1"/>
      <c r="H42" s="1">
        <f>SUM(OSRRefH22_6x_0)</f>
        <v>92.59</v>
      </c>
      <c r="I42" s="1"/>
      <c r="J42" s="5">
        <f t="shared" si="21"/>
        <v>4.4151447236660153E-3</v>
      </c>
      <c r="K42" s="1"/>
      <c r="L42" s="1">
        <f t="shared" si="22"/>
        <v>264.12</v>
      </c>
      <c r="M42" s="1"/>
      <c r="N42" s="5">
        <f t="shared" si="23"/>
        <v>2.8525758721244192</v>
      </c>
      <c r="O42" s="14"/>
      <c r="P42" s="1">
        <f>SUM(OSRRefP22_6x_0)</f>
        <v>356.71</v>
      </c>
      <c r="Q42" s="1"/>
      <c r="R42" s="5">
        <f t="shared" si="24"/>
        <v>2.449006213312279E-3</v>
      </c>
      <c r="S42" s="1"/>
      <c r="T42" s="1">
        <f>SUM(OSRRefT22_6x_0)</f>
        <v>92.59</v>
      </c>
      <c r="U42" s="1"/>
      <c r="V42" s="5">
        <f t="shared" si="25"/>
        <v>4.4151447236660153E-3</v>
      </c>
      <c r="W42" s="1"/>
      <c r="X42" s="1">
        <f t="shared" si="26"/>
        <v>264.12</v>
      </c>
      <c r="Y42" s="1"/>
      <c r="Z42" s="5">
        <f t="shared" si="27"/>
        <v>2.8525758721244192</v>
      </c>
    </row>
    <row r="43" spans="1:26" s="24" customFormat="1" hidden="1" outlineLevel="2" x14ac:dyDescent="0.3">
      <c r="A43" s="27"/>
      <c r="B43" s="12" t="str">
        <f>CONCATENATE("          ", "6241", " - ", "OFFICE EXPENSE")</f>
        <v xml:space="preserve">          6241 - OFFICE EXPENSE</v>
      </c>
      <c r="C43" s="12"/>
      <c r="D43" s="8">
        <v>356.71</v>
      </c>
      <c r="E43" s="3"/>
      <c r="F43" s="7">
        <f t="shared" si="20"/>
        <v>2.449006213312279E-3</v>
      </c>
      <c r="G43" s="3"/>
      <c r="H43" s="8">
        <v>92.59</v>
      </c>
      <c r="I43" s="3"/>
      <c r="J43" s="7">
        <f t="shared" si="21"/>
        <v>4.4151447236660153E-3</v>
      </c>
      <c r="K43" s="3"/>
      <c r="L43" s="8">
        <f t="shared" si="22"/>
        <v>264.12</v>
      </c>
      <c r="M43" s="3"/>
      <c r="N43" s="7">
        <f t="shared" si="23"/>
        <v>2.8525758721244192</v>
      </c>
      <c r="O43" s="12"/>
      <c r="P43" s="8">
        <v>356.71</v>
      </c>
      <c r="Q43" s="3"/>
      <c r="R43" s="7">
        <f t="shared" si="24"/>
        <v>2.449006213312279E-3</v>
      </c>
      <c r="S43" s="3"/>
      <c r="T43" s="8">
        <v>92.59</v>
      </c>
      <c r="U43" s="3"/>
      <c r="V43" s="7">
        <f t="shared" si="25"/>
        <v>4.4151447236660153E-3</v>
      </c>
      <c r="W43" s="3"/>
      <c r="X43" s="8">
        <f t="shared" si="26"/>
        <v>264.12</v>
      </c>
      <c r="Y43" s="3"/>
      <c r="Z43" s="7">
        <f t="shared" si="27"/>
        <v>2.8525758721244192</v>
      </c>
    </row>
    <row r="44" spans="1:26" s="29" customFormat="1" outlineLevel="1" collapsed="1" x14ac:dyDescent="0.3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SUM(OSRRefD22_7x_0)</f>
        <v>-250.25</v>
      </c>
      <c r="E44" s="1"/>
      <c r="F44" s="5">
        <f t="shared" si="20"/>
        <v>-1.718100992070303E-3</v>
      </c>
      <c r="G44" s="1"/>
      <c r="H44" s="1">
        <f>SUM(OSRRefH22_7x_0)</f>
        <v>154.93</v>
      </c>
      <c r="I44" s="1"/>
      <c r="J44" s="5">
        <f t="shared" si="21"/>
        <v>7.3878212770015737E-3</v>
      </c>
      <c r="K44" s="1"/>
      <c r="L44" s="1">
        <f t="shared" si="22"/>
        <v>-405.18</v>
      </c>
      <c r="M44" s="1"/>
      <c r="N44" s="5">
        <f t="shared" si="23"/>
        <v>-2.6152455947847413</v>
      </c>
      <c r="O44" s="14"/>
      <c r="P44" s="1">
        <f>SUM(OSRRefP22_7x_0)</f>
        <v>-250.25</v>
      </c>
      <c r="Q44" s="1"/>
      <c r="R44" s="5">
        <f t="shared" si="24"/>
        <v>-1.718100992070303E-3</v>
      </c>
      <c r="S44" s="1"/>
      <c r="T44" s="1">
        <f>SUM(OSRRefT22_7x_0)</f>
        <v>154.93</v>
      </c>
      <c r="U44" s="1"/>
      <c r="V44" s="5">
        <f t="shared" si="25"/>
        <v>7.3878212770015737E-3</v>
      </c>
      <c r="W44" s="1"/>
      <c r="X44" s="1">
        <f t="shared" si="26"/>
        <v>-405.18</v>
      </c>
      <c r="Y44" s="1"/>
      <c r="Z44" s="5">
        <f t="shared" si="27"/>
        <v>-2.6152455947847413</v>
      </c>
    </row>
    <row r="45" spans="1:26" s="24" customFormat="1" hidden="1" outlineLevel="2" x14ac:dyDescent="0.3">
      <c r="A45" s="27"/>
      <c r="B45" s="12" t="str">
        <f>CONCATENATE("          ", "6309", " - ", "TELEPHONE")</f>
        <v xml:space="preserve">          6309 - TELEPHONE</v>
      </c>
      <c r="C45" s="12"/>
      <c r="D45" s="8">
        <v>-250.25</v>
      </c>
      <c r="E45" s="3"/>
      <c r="F45" s="7">
        <f t="shared" si="20"/>
        <v>-1.718100992070303E-3</v>
      </c>
      <c r="G45" s="3"/>
      <c r="H45" s="8">
        <v>154.93</v>
      </c>
      <c r="I45" s="3"/>
      <c r="J45" s="7">
        <f t="shared" si="21"/>
        <v>7.3878212770015737E-3</v>
      </c>
      <c r="K45" s="3"/>
      <c r="L45" s="8">
        <f t="shared" si="22"/>
        <v>-405.18</v>
      </c>
      <c r="M45" s="3"/>
      <c r="N45" s="7">
        <f t="shared" si="23"/>
        <v>-2.6152455947847413</v>
      </c>
      <c r="O45" s="12"/>
      <c r="P45" s="8">
        <v>-250.25</v>
      </c>
      <c r="Q45" s="3"/>
      <c r="R45" s="7">
        <f t="shared" si="24"/>
        <v>-1.718100992070303E-3</v>
      </c>
      <c r="S45" s="3"/>
      <c r="T45" s="8">
        <v>154.93</v>
      </c>
      <c r="U45" s="3"/>
      <c r="V45" s="7">
        <f t="shared" si="25"/>
        <v>7.3878212770015737E-3</v>
      </c>
      <c r="W45" s="3"/>
      <c r="X45" s="8">
        <f t="shared" si="26"/>
        <v>-405.18</v>
      </c>
      <c r="Y45" s="3"/>
      <c r="Z45" s="7">
        <f t="shared" si="27"/>
        <v>-2.6152455947847413</v>
      </c>
    </row>
    <row r="46" spans="1:26" s="53" customFormat="1" x14ac:dyDescent="0.3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collapsed="1" x14ac:dyDescent="0.3">
      <c r="A47" s="10"/>
      <c r="B47" s="25" t="s">
        <v>292</v>
      </c>
      <c r="C47" s="10"/>
      <c r="D47" s="4">
        <f>SUM(OSRRefD25x_0)</f>
        <v>108.16</v>
      </c>
      <c r="E47" s="4"/>
      <c r="F47" s="11">
        <f t="shared" ref="F47:F48" si="28">IF(D$12=0,0,D47/D$12)</f>
        <v>7.4257663657272324E-4</v>
      </c>
      <c r="G47" s="4"/>
      <c r="H47" s="4">
        <f>SUM(OSRRefH25x_0)</f>
        <v>165</v>
      </c>
      <c r="I47" s="4"/>
      <c r="J47" s="11">
        <f t="shared" ref="J47:J48" si="29">IF(H$12=0,0,H47/H$12)</f>
        <v>7.8680082018024889E-3</v>
      </c>
      <c r="K47" s="4"/>
      <c r="L47" s="4">
        <f t="shared" ref="L47:L48" si="30">+D47-H47</f>
        <v>-56.84</v>
      </c>
      <c r="M47" s="4"/>
      <c r="N47" s="11">
        <f t="shared" ref="N47:N48" si="31">IF(H47=0,0,L47/H47)</f>
        <v>-0.3444848484848485</v>
      </c>
      <c r="O47" s="10"/>
      <c r="P47" s="4">
        <f>SUM(OSRRefP25x_0)</f>
        <v>108.16</v>
      </c>
      <c r="Q47" s="4"/>
      <c r="R47" s="11">
        <f t="shared" ref="R47:R48" si="32">IF(P$12=0,0,P47/P$12)</f>
        <v>7.4257663657272324E-4</v>
      </c>
      <c r="S47" s="4"/>
      <c r="T47" s="4">
        <f>SUM(OSRRefT25x_0)</f>
        <v>165</v>
      </c>
      <c r="U47" s="4"/>
      <c r="V47" s="11">
        <f t="shared" ref="V47:V48" si="33">IF(T$12=0,0,T47/T$12)</f>
        <v>7.8680082018024889E-3</v>
      </c>
      <c r="W47" s="4"/>
      <c r="X47" s="4">
        <f t="shared" ref="X47:X48" si="34">+P47-T47</f>
        <v>-56.84</v>
      </c>
      <c r="Y47" s="4"/>
      <c r="Z47" s="11">
        <f t="shared" ref="Z47:Z48" si="35">IF(T47=0,0,X47/T47)</f>
        <v>-0.3444848484848485</v>
      </c>
    </row>
    <row r="48" spans="1:26" s="24" customFormat="1" hidden="1" outlineLevel="1" x14ac:dyDescent="0.3">
      <c r="A48" s="50"/>
      <c r="B48" s="12" t="str">
        <f>CONCATENATE("          ", "9150", " - ", "MISC. INCOME")</f>
        <v xml:space="preserve">          9150 - MISC. INCOME</v>
      </c>
      <c r="C48" s="12"/>
      <c r="D48" s="3">
        <f>--108.16</f>
        <v>108.16</v>
      </c>
      <c r="E48" s="3"/>
      <c r="F48" s="22">
        <f t="shared" si="28"/>
        <v>7.4257663657272324E-4</v>
      </c>
      <c r="G48" s="3"/>
      <c r="H48" s="3">
        <f>--165</f>
        <v>165</v>
      </c>
      <c r="I48" s="3"/>
      <c r="J48" s="22">
        <f t="shared" si="29"/>
        <v>7.8680082018024889E-3</v>
      </c>
      <c r="K48" s="3"/>
      <c r="L48" s="3">
        <f t="shared" si="30"/>
        <v>-56.84</v>
      </c>
      <c r="M48" s="3"/>
      <c r="N48" s="22">
        <f t="shared" si="31"/>
        <v>-0.3444848484848485</v>
      </c>
      <c r="O48" s="12"/>
      <c r="P48" s="3">
        <f>--108.16</f>
        <v>108.16</v>
      </c>
      <c r="Q48" s="3"/>
      <c r="R48" s="22">
        <f t="shared" si="32"/>
        <v>7.4257663657272324E-4</v>
      </c>
      <c r="S48" s="3"/>
      <c r="T48" s="3">
        <f>--165</f>
        <v>165</v>
      </c>
      <c r="U48" s="3"/>
      <c r="V48" s="22">
        <f t="shared" si="33"/>
        <v>7.8680082018024889E-3</v>
      </c>
      <c r="W48" s="3"/>
      <c r="X48" s="3">
        <f t="shared" si="34"/>
        <v>-56.84</v>
      </c>
      <c r="Y48" s="3"/>
      <c r="Z48" s="22">
        <f t="shared" si="35"/>
        <v>-0.3444848484848485</v>
      </c>
    </row>
    <row r="49" spans="1:26" x14ac:dyDescent="0.3">
      <c r="A49" s="9"/>
      <c r="B49" s="10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10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3">
      <c r="A50" s="10"/>
      <c r="B50" s="26" t="s">
        <v>276</v>
      </c>
      <c r="C50" s="26"/>
      <c r="D50" s="20">
        <f>+D17-D19+D47</f>
        <v>0.14000000001047397</v>
      </c>
      <c r="E50" s="13"/>
      <c r="F50" s="21">
        <f>IF(D$12=0,0,D50/D$12)</f>
        <v>9.6117538025110001E-7</v>
      </c>
      <c r="G50" s="13"/>
      <c r="H50" s="20">
        <f>+H17-H19+H47</f>
        <v>0.13999999999941792</v>
      </c>
      <c r="I50" s="13"/>
      <c r="J50" s="21">
        <f>IF(H$12=0,0,H50/H$12)</f>
        <v>6.6758857469561736E-6</v>
      </c>
      <c r="K50" s="16"/>
      <c r="L50" s="20">
        <f>+D50-H50</f>
        <v>1.1056044968427159E-11</v>
      </c>
      <c r="M50" s="16"/>
      <c r="N50" s="21">
        <f>IF(H50=0,0,L50/H50)</f>
        <v>7.8971749774808042E-11</v>
      </c>
      <c r="O50" s="25"/>
      <c r="P50" s="20">
        <f>+P17-P19+P47</f>
        <v>0.14000000001047397</v>
      </c>
      <c r="Q50" s="13"/>
      <c r="R50" s="21">
        <f>IF(P$12=0,0,P50/P$12)</f>
        <v>9.6117538025110001E-7</v>
      </c>
      <c r="S50" s="13"/>
      <c r="T50" s="20">
        <f>+T17-T19+T47</f>
        <v>0.13999999999941792</v>
      </c>
      <c r="U50" s="13"/>
      <c r="V50" s="21">
        <f>IF(T$12=0,0,T50/T$12)</f>
        <v>6.6758857469561736E-6</v>
      </c>
      <c r="W50" s="16"/>
      <c r="X50" s="20">
        <f>+P50-T50</f>
        <v>1.1056044968427159E-11</v>
      </c>
      <c r="Y50" s="16"/>
      <c r="Z50" s="21">
        <f>IF(T50=0,0,X50/T50)</f>
        <v>7.8971749774808042E-11</v>
      </c>
    </row>
    <row r="51" spans="1:26" x14ac:dyDescent="0.3">
      <c r="A51" s="9"/>
      <c r="B51" s="10"/>
      <c r="C51" s="9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x14ac:dyDescent="0.3">
      <c r="A52" s="51"/>
      <c r="B52" s="10" t="s">
        <v>127</v>
      </c>
      <c r="C52" s="10"/>
      <c r="D52" s="4">
        <v>67292.009999999995</v>
      </c>
      <c r="E52" s="4"/>
      <c r="F52" s="11">
        <f>IF(D$12=0,0,D52/D$12)</f>
        <v>0.46199588067694203</v>
      </c>
      <c r="G52" s="4"/>
      <c r="H52" s="4">
        <v>10085.93</v>
      </c>
      <c r="I52" s="4"/>
      <c r="J52" s="11">
        <f>IF(H$12=0,0,H52/H$12)</f>
        <v>0.48094654522912594</v>
      </c>
      <c r="K52" s="4"/>
      <c r="L52" s="4">
        <f>+D52-H52</f>
        <v>57206.079999999994</v>
      </c>
      <c r="M52" s="4"/>
      <c r="N52" s="11">
        <f>IF(H52=0,0,L52/H52)</f>
        <v>5.6718696243182327</v>
      </c>
      <c r="O52" s="10"/>
      <c r="P52" s="4">
        <v>67292.009999999995</v>
      </c>
      <c r="Q52" s="4"/>
      <c r="R52" s="11">
        <f>IF(P$12=0,0,P52/P$12)</f>
        <v>0.46199588067694203</v>
      </c>
      <c r="S52" s="4"/>
      <c r="T52" s="4">
        <v>10085.93</v>
      </c>
      <c r="U52" s="4"/>
      <c r="V52" s="11">
        <f>IF(T$12=0,0,T52/T$12)</f>
        <v>0.48094654522912594</v>
      </c>
      <c r="W52" s="4"/>
      <c r="X52" s="4">
        <f>+P52-T52</f>
        <v>57206.079999999994</v>
      </c>
      <c r="Y52" s="4"/>
      <c r="Z52" s="11">
        <f>IF(T52=0,0,X52/T52)</f>
        <v>5.6718696243182327</v>
      </c>
    </row>
    <row r="53" spans="1:26" x14ac:dyDescent="0.3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ht="15" thickBot="1" x14ac:dyDescent="0.35">
      <c r="A54" s="10"/>
      <c r="B54" s="26" t="s">
        <v>125</v>
      </c>
      <c r="C54" s="26"/>
      <c r="D54" s="36">
        <f>+D50-D52</f>
        <v>-67291.869999999981</v>
      </c>
      <c r="E54" s="13"/>
      <c r="F54" s="34">
        <f>IF(D$12=0,0,D54/D$12)</f>
        <v>-0.4619949195015618</v>
      </c>
      <c r="G54" s="13"/>
      <c r="H54" s="36">
        <f>+H50-H52</f>
        <v>-10085.790000000001</v>
      </c>
      <c r="I54" s="13"/>
      <c r="J54" s="34">
        <f>IF(H$12=0,0,H54/H$12)</f>
        <v>-0.48093986934337901</v>
      </c>
      <c r="K54" s="16"/>
      <c r="L54" s="36">
        <f>D54-H54</f>
        <v>-57206.07999999998</v>
      </c>
      <c r="M54" s="16"/>
      <c r="N54" s="34">
        <f>IF(H54=0,0,L54/H54)</f>
        <v>5.6719483550619216</v>
      </c>
      <c r="O54" s="25"/>
      <c r="P54" s="36">
        <f>+P50-P52</f>
        <v>-67291.869999999981</v>
      </c>
      <c r="Q54" s="13"/>
      <c r="R54" s="34">
        <f>IF(P$12=0,0,P54/P$12)</f>
        <v>-0.4619949195015618</v>
      </c>
      <c r="S54" s="13"/>
      <c r="T54" s="36">
        <f>+T50-T52</f>
        <v>-10085.790000000001</v>
      </c>
      <c r="U54" s="13"/>
      <c r="V54" s="34">
        <f>IF(T$12=0,0,T54/T$12)</f>
        <v>-0.48093986934337901</v>
      </c>
      <c r="W54" s="16"/>
      <c r="X54" s="36">
        <f>P54-T54</f>
        <v>-57206.07999999998</v>
      </c>
      <c r="Y54" s="16"/>
      <c r="Z54" s="34">
        <f>IF(T54=0,0,X54/T54)</f>
        <v>5.6719483550619216</v>
      </c>
    </row>
    <row r="55" spans="1:26" ht="15" thickTop="1" x14ac:dyDescent="0.3">
      <c r="A55" s="9"/>
      <c r="B55" s="9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x14ac:dyDescent="0.3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" thickBot="1" x14ac:dyDescent="0.35">
      <c r="A57" s="10"/>
      <c r="B57" s="26" t="s">
        <v>293</v>
      </c>
      <c r="C57" s="26"/>
      <c r="D57" s="31">
        <f>SUM(D54:D56)</f>
        <v>-67291.869999999981</v>
      </c>
      <c r="E57" s="13"/>
      <c r="F57" s="33">
        <f>IF(D$12=0,0,D57/D$12)</f>
        <v>-0.4619949195015618</v>
      </c>
      <c r="G57" s="13"/>
      <c r="H57" s="31">
        <f>SUM(H54:H56)</f>
        <v>-10085.790000000001</v>
      </c>
      <c r="I57" s="13"/>
      <c r="J57" s="33">
        <f>IF(H$12=0,0,H57/H$12)</f>
        <v>-0.48093986934337901</v>
      </c>
      <c r="K57" s="16"/>
      <c r="L57" s="31">
        <f>+D57-H57</f>
        <v>-57206.07999999998</v>
      </c>
      <c r="M57" s="16"/>
      <c r="N57" s="33">
        <f>IF(H57=0,0,L57/H57)</f>
        <v>5.6719483550619216</v>
      </c>
      <c r="O57" s="25"/>
      <c r="P57" s="31">
        <f>SUM(P54:P56)</f>
        <v>-67291.869999999981</v>
      </c>
      <c r="Q57" s="13"/>
      <c r="R57" s="33">
        <f>IF(P$12=0,0,P57/P$12)</f>
        <v>-0.4619949195015618</v>
      </c>
      <c r="S57" s="13"/>
      <c r="T57" s="31">
        <f>SUM(T54:T56)</f>
        <v>-10085.790000000001</v>
      </c>
      <c r="U57" s="13"/>
      <c r="V57" s="33">
        <f>IF(T$12=0,0,T57/T$12)</f>
        <v>-0.48093986934337901</v>
      </c>
      <c r="W57" s="16"/>
      <c r="X57" s="31">
        <f>+P57-T57</f>
        <v>-57206.07999999998</v>
      </c>
      <c r="Y57" s="16"/>
      <c r="Z57" s="33">
        <f>IF(T57=0,0,X57/T57)</f>
        <v>5.6719483550619216</v>
      </c>
    </row>
    <row r="58" spans="1:26" ht="15" thickTop="1" x14ac:dyDescent="0.3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">
      <c r="A59" s="9"/>
      <c r="B59" s="59">
        <v>44462.666921493059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A60" s="9"/>
      <c r="B60" s="57" t="s">
        <v>56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61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str">
        <f>CONCATENATE("Period ",RIGHT(202201,2),", ",2022)</f>
        <v>Period 01, 2022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3">
        <v>44408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>
        <f>SUM(OSRRefD13x_0)</f>
        <v>145655</v>
      </c>
      <c r="E12" s="4"/>
      <c r="F12" s="11"/>
      <c r="G12" s="4"/>
      <c r="H12" s="4">
        <f>SUM(OSRRefH13x_0)</f>
        <v>20971</v>
      </c>
      <c r="I12" s="4"/>
      <c r="J12" s="11"/>
      <c r="K12" s="4"/>
      <c r="L12" s="4">
        <f t="shared" ref="L12:L13" si="0">+D12-H12</f>
        <v>124684</v>
      </c>
      <c r="M12" s="4"/>
      <c r="N12" s="11">
        <f t="shared" ref="N12:N13" si="1">IF(H12=0,0,L12/H12)</f>
        <v>5.9455438462638881</v>
      </c>
      <c r="O12" s="10"/>
      <c r="P12" s="4">
        <f>SUM(OSRRefP13x_0)</f>
        <v>145655</v>
      </c>
      <c r="Q12" s="4"/>
      <c r="R12" s="11"/>
      <c r="S12" s="4"/>
      <c r="T12" s="4">
        <f>SUM(OSRRefT13x_0)</f>
        <v>20971</v>
      </c>
      <c r="U12" s="4"/>
      <c r="V12" s="11"/>
      <c r="W12" s="4"/>
      <c r="X12" s="4">
        <f t="shared" ref="X12:X13" si="2">+P12-T12</f>
        <v>124684</v>
      </c>
      <c r="Y12" s="4"/>
      <c r="Z12" s="11">
        <f t="shared" ref="Z12:Z13" si="3">IF(T12=0,0,X12/T12)</f>
        <v>5.9455438462638881</v>
      </c>
    </row>
    <row r="13" spans="1:26" s="24" customFormat="1" hidden="1" outlineLevel="1" x14ac:dyDescent="0.3">
      <c r="A13" s="50"/>
      <c r="B13" s="12" t="str">
        <f>CONCATENATE("          ", "4100", " - ", "NON-TAXABLE SALES")</f>
        <v xml:space="preserve">          4100 - NON-TAXABLE SALES</v>
      </c>
      <c r="C13" s="12"/>
      <c r="D13" s="3">
        <f>--145655</f>
        <v>145655</v>
      </c>
      <c r="E13" s="3"/>
      <c r="F13" s="22"/>
      <c r="G13" s="3"/>
      <c r="H13" s="3">
        <f>--20971</f>
        <v>20971</v>
      </c>
      <c r="I13" s="3"/>
      <c r="J13" s="22"/>
      <c r="K13" s="3"/>
      <c r="L13" s="3">
        <f t="shared" si="0"/>
        <v>124684</v>
      </c>
      <c r="M13" s="3"/>
      <c r="N13" s="22">
        <f t="shared" si="1"/>
        <v>5.9455438462638881</v>
      </c>
      <c r="O13" s="12"/>
      <c r="P13" s="3">
        <f>--145655</f>
        <v>145655</v>
      </c>
      <c r="Q13" s="3"/>
      <c r="R13" s="22"/>
      <c r="S13" s="3"/>
      <c r="T13" s="3">
        <f>--20971</f>
        <v>20971</v>
      </c>
      <c r="U13" s="3"/>
      <c r="V13" s="22"/>
      <c r="W13" s="3"/>
      <c r="X13" s="3">
        <f t="shared" si="2"/>
        <v>124684</v>
      </c>
      <c r="Y13" s="3"/>
      <c r="Z13" s="22">
        <f t="shared" si="3"/>
        <v>5.9455438462638881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x14ac:dyDescent="0.3">
      <c r="A15" s="10"/>
      <c r="B15" s="25" t="s">
        <v>256</v>
      </c>
      <c r="C15" s="10"/>
      <c r="D15" s="4">
        <f>SUM(0)</f>
        <v>0</v>
      </c>
      <c r="E15" s="4"/>
      <c r="F15" s="11">
        <f>IF(D$12=0,0,D15/D$12)</f>
        <v>0</v>
      </c>
      <c r="G15" s="4"/>
      <c r="H15" s="4">
        <f>SUM(0)</f>
        <v>0</v>
      </c>
      <c r="I15" s="4"/>
      <c r="J15" s="11">
        <f>IF(H$12=0,0,H15/H$12)</f>
        <v>0</v>
      </c>
      <c r="K15" s="4"/>
      <c r="L15" s="4">
        <f>+D15-H15</f>
        <v>0</v>
      </c>
      <c r="M15" s="4"/>
      <c r="N15" s="11">
        <f>IF(H15=0,0,L15/H15)</f>
        <v>0</v>
      </c>
      <c r="O15" s="10"/>
      <c r="P15" s="4">
        <f>SUM(0)</f>
        <v>0</v>
      </c>
      <c r="Q15" s="4"/>
      <c r="R15" s="11">
        <f>IF(P$12=0,0,P15/P$12)</f>
        <v>0</v>
      </c>
      <c r="S15" s="4"/>
      <c r="T15" s="4">
        <f>SUM(0)</f>
        <v>0</v>
      </c>
      <c r="U15" s="4"/>
      <c r="V15" s="11">
        <f>IF(T$12=0,0,T15/T$12)</f>
        <v>0</v>
      </c>
      <c r="W15" s="4"/>
      <c r="X15" s="4">
        <f>+P15-T15</f>
        <v>0</v>
      </c>
      <c r="Y15" s="4"/>
      <c r="Z15" s="11">
        <f>IF(T15=0,0,X15/T15)</f>
        <v>0</v>
      </c>
    </row>
    <row r="16" spans="1:26" x14ac:dyDescent="0.3">
      <c r="A16" s="9"/>
      <c r="B16" s="10"/>
      <c r="C16" s="10"/>
      <c r="D16" s="2"/>
      <c r="E16" s="2"/>
      <c r="F16" s="6"/>
      <c r="G16" s="2"/>
      <c r="H16" s="2"/>
      <c r="I16" s="2"/>
      <c r="J16" s="6"/>
      <c r="K16" s="2"/>
      <c r="L16" s="2"/>
      <c r="M16" s="2"/>
      <c r="N16" s="6"/>
      <c r="O16" s="10"/>
      <c r="P16" s="2"/>
      <c r="Q16" s="2"/>
      <c r="R16" s="6"/>
      <c r="S16" s="2"/>
      <c r="T16" s="2"/>
      <c r="U16" s="2"/>
      <c r="V16" s="6"/>
      <c r="W16" s="2"/>
      <c r="X16" s="2"/>
      <c r="Y16" s="2"/>
      <c r="Z16" s="6"/>
    </row>
    <row r="17" spans="1:26" s="23" customFormat="1" x14ac:dyDescent="0.3">
      <c r="A17" s="10"/>
      <c r="B17" s="26" t="s">
        <v>107</v>
      </c>
      <c r="C17" s="26"/>
      <c r="D17" s="20">
        <f>D12-D15</f>
        <v>145655</v>
      </c>
      <c r="E17" s="13"/>
      <c r="F17" s="21">
        <f>IF(D$12=0,0,D17/D$12)</f>
        <v>1</v>
      </c>
      <c r="G17" s="13"/>
      <c r="H17" s="20">
        <f>H12-H15</f>
        <v>20971</v>
      </c>
      <c r="I17" s="13"/>
      <c r="J17" s="21">
        <f>IF(H$12=0,0,H17/H$12)</f>
        <v>1</v>
      </c>
      <c r="K17" s="16"/>
      <c r="L17" s="20">
        <f>+D17-H17</f>
        <v>124684</v>
      </c>
      <c r="M17" s="16"/>
      <c r="N17" s="21">
        <f>IF(H17=0,0,L17/H17)</f>
        <v>5.9455438462638881</v>
      </c>
      <c r="O17" s="25"/>
      <c r="P17" s="20">
        <f>P12-P15</f>
        <v>145655</v>
      </c>
      <c r="Q17" s="13"/>
      <c r="R17" s="21">
        <f>IF(P$12=0,0,P17/P$12)</f>
        <v>1</v>
      </c>
      <c r="S17" s="13"/>
      <c r="T17" s="20">
        <f>T12-T15</f>
        <v>20971</v>
      </c>
      <c r="U17" s="13"/>
      <c r="V17" s="21">
        <f>IF(T$12=0,0,T17/T$12)</f>
        <v>1</v>
      </c>
      <c r="W17" s="16"/>
      <c r="X17" s="20">
        <f>+P17-T17</f>
        <v>124684</v>
      </c>
      <c r="Y17" s="16"/>
      <c r="Z17" s="21">
        <f>IF(T17=0,0,X17/T17)</f>
        <v>5.9455438462638881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294</v>
      </c>
      <c r="C19" s="10"/>
      <c r="D19" s="19">
        <f>SUM(OSRRefD22x_0)</f>
        <v>145763.01999999999</v>
      </c>
      <c r="E19" s="19"/>
      <c r="F19" s="35">
        <f t="shared" ref="F19:F28" si="4">IF(D$12=0,0,D19/D$12)</f>
        <v>1.0007416154611926</v>
      </c>
      <c r="G19" s="19"/>
      <c r="H19" s="19">
        <f>SUM(OSRRefH22x_0)</f>
        <v>21135.86</v>
      </c>
      <c r="I19" s="19"/>
      <c r="J19" s="35">
        <f t="shared" ref="J19:J28" si="5">IF(H$12=0,0,H19/H$12)</f>
        <v>1.0078613323160555</v>
      </c>
      <c r="K19" s="4"/>
      <c r="L19" s="19">
        <f t="shared" ref="L19:L28" si="6">+D19-H19</f>
        <v>124627.15999999999</v>
      </c>
      <c r="M19" s="4"/>
      <c r="N19" s="35">
        <f t="shared" ref="N19:N28" si="7">IF(H19=0,0,L19/H19)</f>
        <v>5.8964792537422177</v>
      </c>
      <c r="O19" s="10"/>
      <c r="P19" s="19">
        <f>SUM(OSRRefP22x_0)</f>
        <v>145763.01999999999</v>
      </c>
      <c r="Q19" s="19"/>
      <c r="R19" s="35">
        <f t="shared" ref="R19:R28" si="8">IF(P$12=0,0,P19/P$12)</f>
        <v>1.0007416154611926</v>
      </c>
      <c r="S19" s="19"/>
      <c r="T19" s="19">
        <f>SUM(OSRRefT22x_0)</f>
        <v>21135.86</v>
      </c>
      <c r="U19" s="19"/>
      <c r="V19" s="35">
        <f t="shared" ref="V19:V28" si="9">IF(T$12=0,0,T19/T$12)</f>
        <v>1.0078613323160555</v>
      </c>
      <c r="W19" s="4"/>
      <c r="X19" s="19">
        <f t="shared" ref="X19:X28" si="10">+P19-T19</f>
        <v>124627.15999999999</v>
      </c>
      <c r="Y19" s="4"/>
      <c r="Z19" s="35">
        <f t="shared" ref="Z19:Z28" si="11">IF(T19=0,0,X19/T19)</f>
        <v>5.8964792537422177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3801.83</v>
      </c>
      <c r="E20" s="1"/>
      <c r="F20" s="5">
        <f t="shared" si="4"/>
        <v>2.6101609968761801E-2</v>
      </c>
      <c r="G20" s="1"/>
      <c r="H20" s="1">
        <f>SUM(OSRRefH22_0x_0)</f>
        <v>4207.82</v>
      </c>
      <c r="I20" s="1"/>
      <c r="J20" s="5">
        <f t="shared" si="5"/>
        <v>0.20064946831338515</v>
      </c>
      <c r="K20" s="1"/>
      <c r="L20" s="1">
        <f t="shared" si="6"/>
        <v>-405.98999999999978</v>
      </c>
      <c r="M20" s="1"/>
      <c r="N20" s="5">
        <f t="shared" si="7"/>
        <v>-9.6484640502683058E-2</v>
      </c>
      <c r="O20" s="14"/>
      <c r="P20" s="1">
        <f>SUM(OSRRefP22_0x_0)</f>
        <v>3801.83</v>
      </c>
      <c r="Q20" s="1"/>
      <c r="R20" s="5">
        <f t="shared" si="8"/>
        <v>2.6101609968761801E-2</v>
      </c>
      <c r="S20" s="1"/>
      <c r="T20" s="1">
        <f>SUM(OSRRefT22_0x_0)</f>
        <v>4207.82</v>
      </c>
      <c r="U20" s="1"/>
      <c r="V20" s="5">
        <f t="shared" si="9"/>
        <v>0.20064946831338515</v>
      </c>
      <c r="W20" s="1"/>
      <c r="X20" s="1">
        <f t="shared" si="10"/>
        <v>-405.98999999999978</v>
      </c>
      <c r="Y20" s="1"/>
      <c r="Z20" s="5">
        <f t="shared" si="11"/>
        <v>-9.6484640502683058E-2</v>
      </c>
    </row>
    <row r="21" spans="1:26" s="24" customFormat="1" hidden="1" outlineLevel="2" x14ac:dyDescent="0.3">
      <c r="A21" s="27"/>
      <c r="B21" s="12" t="str">
        <f>CONCATENATE("          ", "6111", " - ", "F.I.C.A.")</f>
        <v xml:space="preserve">          6111 - F.I.C.A.</v>
      </c>
      <c r="C21" s="12"/>
      <c r="D21" s="8">
        <v>1188.3599999999999</v>
      </c>
      <c r="E21" s="3"/>
      <c r="F21" s="7">
        <f t="shared" si="4"/>
        <v>8.1587312484981619E-3</v>
      </c>
      <c r="G21" s="3"/>
      <c r="H21" s="8">
        <v>1006.58</v>
      </c>
      <c r="I21" s="3"/>
      <c r="J21" s="7">
        <f t="shared" si="5"/>
        <v>4.7998664822850604E-2</v>
      </c>
      <c r="K21" s="3"/>
      <c r="L21" s="8">
        <f t="shared" si="6"/>
        <v>181.77999999999986</v>
      </c>
      <c r="M21" s="3"/>
      <c r="N21" s="7">
        <f t="shared" si="7"/>
        <v>0.18059170657076423</v>
      </c>
      <c r="O21" s="12"/>
      <c r="P21" s="8">
        <v>1188.3599999999999</v>
      </c>
      <c r="Q21" s="3"/>
      <c r="R21" s="7">
        <f t="shared" si="8"/>
        <v>8.1587312484981619E-3</v>
      </c>
      <c r="S21" s="3"/>
      <c r="T21" s="8">
        <v>1006.58</v>
      </c>
      <c r="U21" s="3"/>
      <c r="V21" s="7">
        <f t="shared" si="9"/>
        <v>4.7998664822850604E-2</v>
      </c>
      <c r="W21" s="3"/>
      <c r="X21" s="8">
        <f t="shared" si="10"/>
        <v>181.77999999999986</v>
      </c>
      <c r="Y21" s="3"/>
      <c r="Z21" s="7">
        <f t="shared" si="11"/>
        <v>0.18059170657076423</v>
      </c>
    </row>
    <row r="22" spans="1:26" s="24" customFormat="1" hidden="1" outlineLevel="2" x14ac:dyDescent="0.3">
      <c r="A22" s="27"/>
      <c r="B22" s="12" t="str">
        <f>CONCATENATE("          ", "6112", " - ", "COMPENSATION INSURANCE")</f>
        <v xml:space="preserve">          6112 - COMPENSATION INSURANCE</v>
      </c>
      <c r="C22" s="12"/>
      <c r="D22" s="8">
        <v>157.99</v>
      </c>
      <c r="E22" s="3"/>
      <c r="F22" s="7">
        <f t="shared" si="4"/>
        <v>1.0846864165322166E-3</v>
      </c>
      <c r="G22" s="3"/>
      <c r="H22" s="8">
        <v>77.87</v>
      </c>
      <c r="I22" s="3"/>
      <c r="J22" s="7">
        <f t="shared" si="5"/>
        <v>3.7132230222688477E-3</v>
      </c>
      <c r="K22" s="3"/>
      <c r="L22" s="8">
        <f t="shared" si="6"/>
        <v>80.12</v>
      </c>
      <c r="M22" s="3"/>
      <c r="N22" s="7">
        <f t="shared" si="7"/>
        <v>1.0288943110312059</v>
      </c>
      <c r="O22" s="12"/>
      <c r="P22" s="8">
        <v>157.99</v>
      </c>
      <c r="Q22" s="3"/>
      <c r="R22" s="7">
        <f t="shared" si="8"/>
        <v>1.0846864165322166E-3</v>
      </c>
      <c r="S22" s="3"/>
      <c r="T22" s="8">
        <v>77.87</v>
      </c>
      <c r="U22" s="3"/>
      <c r="V22" s="7">
        <f t="shared" si="9"/>
        <v>3.7132230222688477E-3</v>
      </c>
      <c r="W22" s="3"/>
      <c r="X22" s="8">
        <f t="shared" si="10"/>
        <v>80.12</v>
      </c>
      <c r="Y22" s="3"/>
      <c r="Z22" s="7">
        <f t="shared" si="11"/>
        <v>1.0288943110312059</v>
      </c>
    </row>
    <row r="23" spans="1:26" s="24" customFormat="1" hidden="1" outlineLevel="2" x14ac:dyDescent="0.3">
      <c r="A23" s="27"/>
      <c r="B23" s="12" t="str">
        <f>CONCATENATE("          ", "6113", " - ", "GROUP INSURANCE")</f>
        <v xml:space="preserve">          6113 - GROUP INSURANCE</v>
      </c>
      <c r="C23" s="12"/>
      <c r="D23" s="8">
        <v>1054.3499999999999</v>
      </c>
      <c r="E23" s="3"/>
      <c r="F23" s="7">
        <f t="shared" si="4"/>
        <v>7.2386804435137821E-3</v>
      </c>
      <c r="G23" s="3"/>
      <c r="H23" s="8">
        <v>1230.45</v>
      </c>
      <c r="I23" s="3"/>
      <c r="J23" s="7">
        <f t="shared" si="5"/>
        <v>5.8673882981259834E-2</v>
      </c>
      <c r="K23" s="3"/>
      <c r="L23" s="8">
        <f t="shared" si="6"/>
        <v>-176.10000000000014</v>
      </c>
      <c r="M23" s="3"/>
      <c r="N23" s="7">
        <f t="shared" si="7"/>
        <v>-0.14311837132756319</v>
      </c>
      <c r="O23" s="12"/>
      <c r="P23" s="8">
        <v>1054.3499999999999</v>
      </c>
      <c r="Q23" s="3"/>
      <c r="R23" s="7">
        <f t="shared" si="8"/>
        <v>7.2386804435137821E-3</v>
      </c>
      <c r="S23" s="3"/>
      <c r="T23" s="8">
        <v>1230.45</v>
      </c>
      <c r="U23" s="3"/>
      <c r="V23" s="7">
        <f t="shared" si="9"/>
        <v>5.8673882981259834E-2</v>
      </c>
      <c r="W23" s="3"/>
      <c r="X23" s="8">
        <f t="shared" si="10"/>
        <v>-176.10000000000014</v>
      </c>
      <c r="Y23" s="3"/>
      <c r="Z23" s="7">
        <f t="shared" si="11"/>
        <v>-0.14311837132756319</v>
      </c>
    </row>
    <row r="24" spans="1:26" s="24" customFormat="1" hidden="1" outlineLevel="2" x14ac:dyDescent="0.3">
      <c r="A24" s="27"/>
      <c r="B24" s="12" t="str">
        <f>CONCATENATE("          ", "6114", " - ", "STATE UNEMPLOYMENT INSURANCE")</f>
        <v xml:space="preserve">          6114 - STATE UNEMPLOYMENT INSURANCE</v>
      </c>
      <c r="C24" s="12"/>
      <c r="D24" s="8">
        <v>31.34</v>
      </c>
      <c r="E24" s="3"/>
      <c r="F24" s="7">
        <f t="shared" si="4"/>
        <v>2.1516597439154165E-4</v>
      </c>
      <c r="G24" s="3"/>
      <c r="H24" s="8">
        <v>34.200000000000003</v>
      </c>
      <c r="I24" s="3"/>
      <c r="J24" s="7">
        <f t="shared" si="5"/>
        <v>1.6308235181917887E-3</v>
      </c>
      <c r="K24" s="3"/>
      <c r="L24" s="8">
        <f t="shared" si="6"/>
        <v>-2.860000000000003</v>
      </c>
      <c r="M24" s="3"/>
      <c r="N24" s="7">
        <f t="shared" si="7"/>
        <v>-8.3625730994152131E-2</v>
      </c>
      <c r="O24" s="12"/>
      <c r="P24" s="8">
        <v>31.34</v>
      </c>
      <c r="Q24" s="3"/>
      <c r="R24" s="7">
        <f t="shared" si="8"/>
        <v>2.1516597439154165E-4</v>
      </c>
      <c r="S24" s="3"/>
      <c r="T24" s="8">
        <v>34.200000000000003</v>
      </c>
      <c r="U24" s="3"/>
      <c r="V24" s="7">
        <f t="shared" si="9"/>
        <v>1.6308235181917887E-3</v>
      </c>
      <c r="W24" s="3"/>
      <c r="X24" s="8">
        <f t="shared" si="10"/>
        <v>-2.860000000000003</v>
      </c>
      <c r="Y24" s="3"/>
      <c r="Z24" s="7">
        <f t="shared" si="11"/>
        <v>-8.3625730994152131E-2</v>
      </c>
    </row>
    <row r="25" spans="1:26" s="24" customFormat="1" hidden="1" outlineLevel="2" x14ac:dyDescent="0.3">
      <c r="A25" s="27"/>
      <c r="B25" s="12" t="str">
        <f>CONCATENATE("          ", "6115", " - ", "P.E.R.S.")</f>
        <v xml:space="preserve">          6115 - P.E.R.S.</v>
      </c>
      <c r="C25" s="12"/>
      <c r="D25" s="8">
        <v>586.58000000000004</v>
      </c>
      <c r="E25" s="3"/>
      <c r="F25" s="7">
        <f t="shared" si="4"/>
        <v>4.0271875321822113E-3</v>
      </c>
      <c r="G25" s="3"/>
      <c r="H25" s="8">
        <v>939.44</v>
      </c>
      <c r="I25" s="3"/>
      <c r="J25" s="7">
        <f t="shared" si="5"/>
        <v>4.4797100758189885E-2</v>
      </c>
      <c r="K25" s="3"/>
      <c r="L25" s="8">
        <f t="shared" si="6"/>
        <v>-352.86</v>
      </c>
      <c r="M25" s="3"/>
      <c r="N25" s="7">
        <f t="shared" si="7"/>
        <v>-0.37560674444349823</v>
      </c>
      <c r="O25" s="12"/>
      <c r="P25" s="8">
        <v>586.58000000000004</v>
      </c>
      <c r="Q25" s="3"/>
      <c r="R25" s="7">
        <f t="shared" si="8"/>
        <v>4.0271875321822113E-3</v>
      </c>
      <c r="S25" s="3"/>
      <c r="T25" s="8">
        <v>939.44</v>
      </c>
      <c r="U25" s="3"/>
      <c r="V25" s="7">
        <f t="shared" si="9"/>
        <v>4.4797100758189885E-2</v>
      </c>
      <c r="W25" s="3"/>
      <c r="X25" s="8">
        <f t="shared" si="10"/>
        <v>-352.86</v>
      </c>
      <c r="Y25" s="3"/>
      <c r="Z25" s="7">
        <f t="shared" si="11"/>
        <v>-0.37560674444349823</v>
      </c>
    </row>
    <row r="26" spans="1:26" s="24" customFormat="1" hidden="1" outlineLevel="2" x14ac:dyDescent="0.3">
      <c r="A26" s="27"/>
      <c r="B26" s="12" t="str">
        <f>CONCATENATE("          ", "6117", " - ", "RETIREMENT STAFF HOURLY")</f>
        <v xml:space="preserve">          6117 - RETIREMENT STAFF HOURLY</v>
      </c>
      <c r="C26" s="12"/>
      <c r="D26" s="8">
        <v>102.54</v>
      </c>
      <c r="E26" s="3"/>
      <c r="F26" s="7">
        <f t="shared" si="4"/>
        <v>7.039923105969586E-4</v>
      </c>
      <c r="G26" s="3"/>
      <c r="H26" s="8">
        <v>100</v>
      </c>
      <c r="I26" s="3"/>
      <c r="J26" s="7">
        <f t="shared" si="5"/>
        <v>4.768489819274236E-3</v>
      </c>
      <c r="K26" s="3"/>
      <c r="L26" s="8">
        <f t="shared" si="6"/>
        <v>2.5400000000000063</v>
      </c>
      <c r="M26" s="3"/>
      <c r="N26" s="7">
        <f t="shared" si="7"/>
        <v>2.5400000000000061E-2</v>
      </c>
      <c r="O26" s="12"/>
      <c r="P26" s="8">
        <v>102.54</v>
      </c>
      <c r="Q26" s="3"/>
      <c r="R26" s="7">
        <f t="shared" si="8"/>
        <v>7.039923105969586E-4</v>
      </c>
      <c r="S26" s="3"/>
      <c r="T26" s="8">
        <v>100</v>
      </c>
      <c r="U26" s="3"/>
      <c r="V26" s="7">
        <f t="shared" si="9"/>
        <v>4.768489819274236E-3</v>
      </c>
      <c r="W26" s="3"/>
      <c r="X26" s="8">
        <f t="shared" si="10"/>
        <v>2.5400000000000063</v>
      </c>
      <c r="Y26" s="3"/>
      <c r="Z26" s="7">
        <f t="shared" si="11"/>
        <v>2.5400000000000061E-2</v>
      </c>
    </row>
    <row r="27" spans="1:26" s="24" customFormat="1" hidden="1" outlineLevel="2" x14ac:dyDescent="0.3">
      <c r="A27" s="27"/>
      <c r="B27" s="12" t="str">
        <f>CONCATENATE("          ", "6118", " - ", "VACATION")</f>
        <v xml:space="preserve">          6118 - VACATION</v>
      </c>
      <c r="C27" s="12"/>
      <c r="D27" s="8">
        <v>413.76</v>
      </c>
      <c r="E27" s="3"/>
      <c r="F27" s="7">
        <f t="shared" si="4"/>
        <v>2.840685180735299E-3</v>
      </c>
      <c r="G27" s="3"/>
      <c r="H27" s="8">
        <v>520.02</v>
      </c>
      <c r="I27" s="3"/>
      <c r="J27" s="7">
        <f t="shared" si="5"/>
        <v>2.4797100758189881E-2</v>
      </c>
      <c r="K27" s="3"/>
      <c r="L27" s="8">
        <f t="shared" si="6"/>
        <v>-106.25999999999999</v>
      </c>
      <c r="M27" s="3"/>
      <c r="N27" s="7">
        <f t="shared" si="7"/>
        <v>-0.20433829468097381</v>
      </c>
      <c r="O27" s="12"/>
      <c r="P27" s="8">
        <v>413.76</v>
      </c>
      <c r="Q27" s="3"/>
      <c r="R27" s="7">
        <f t="shared" si="8"/>
        <v>2.840685180735299E-3</v>
      </c>
      <c r="S27" s="3"/>
      <c r="T27" s="8">
        <v>520.02</v>
      </c>
      <c r="U27" s="3"/>
      <c r="V27" s="7">
        <f t="shared" si="9"/>
        <v>2.4797100758189881E-2</v>
      </c>
      <c r="W27" s="3"/>
      <c r="X27" s="8">
        <f t="shared" si="10"/>
        <v>-106.25999999999999</v>
      </c>
      <c r="Y27" s="3"/>
      <c r="Z27" s="7">
        <f t="shared" si="11"/>
        <v>-0.20433829468097381</v>
      </c>
    </row>
    <row r="28" spans="1:26" s="24" customFormat="1" hidden="1" outlineLevel="2" x14ac:dyDescent="0.3">
      <c r="A28" s="27"/>
      <c r="B28" s="12" t="str">
        <f>CONCATENATE("          ", "6119", " - ", "SICK LEAVE")</f>
        <v xml:space="preserve">          6119 - SICK LEAVE</v>
      </c>
      <c r="C28" s="12"/>
      <c r="D28" s="8">
        <v>266.91000000000003</v>
      </c>
      <c r="E28" s="3"/>
      <c r="F28" s="7">
        <f t="shared" si="4"/>
        <v>1.8324808623116269E-3</v>
      </c>
      <c r="G28" s="3"/>
      <c r="H28" s="8">
        <v>299.26</v>
      </c>
      <c r="I28" s="3"/>
      <c r="J28" s="7">
        <f t="shared" si="5"/>
        <v>1.4270182633160077E-2</v>
      </c>
      <c r="K28" s="3"/>
      <c r="L28" s="8">
        <f t="shared" si="6"/>
        <v>-32.349999999999966</v>
      </c>
      <c r="M28" s="3"/>
      <c r="N28" s="7">
        <f t="shared" si="7"/>
        <v>-0.10809997995054457</v>
      </c>
      <c r="O28" s="12"/>
      <c r="P28" s="8">
        <v>266.91000000000003</v>
      </c>
      <c r="Q28" s="3"/>
      <c r="R28" s="7">
        <f t="shared" si="8"/>
        <v>1.8324808623116269E-3</v>
      </c>
      <c r="S28" s="3"/>
      <c r="T28" s="8">
        <v>299.26</v>
      </c>
      <c r="U28" s="3"/>
      <c r="V28" s="7">
        <f t="shared" si="9"/>
        <v>1.4270182633160077E-2</v>
      </c>
      <c r="W28" s="3"/>
      <c r="X28" s="8">
        <f t="shared" si="10"/>
        <v>-32.349999999999966</v>
      </c>
      <c r="Y28" s="3"/>
      <c r="Z28" s="7">
        <f t="shared" si="11"/>
        <v>-0.10809997995054457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18970.560000000001</v>
      </c>
      <c r="E29" s="1"/>
      <c r="F29" s="5">
        <f t="shared" ref="F29:F33" si="12">IF(D$12=0,0,D29/D$12)</f>
        <v>0.13024310871580105</v>
      </c>
      <c r="G29" s="1"/>
      <c r="H29" s="1">
        <f>SUM(OSRRefH22_1x_0)</f>
        <v>15605.18</v>
      </c>
      <c r="I29" s="1"/>
      <c r="J29" s="5">
        <f t="shared" ref="J29:J33" si="13">IF(H$12=0,0,H29/H$12)</f>
        <v>0.7441314195794192</v>
      </c>
      <c r="K29" s="1"/>
      <c r="L29" s="1">
        <f t="shared" ref="L29:L33" si="14">+D29-H29</f>
        <v>3365.380000000001</v>
      </c>
      <c r="M29" s="1"/>
      <c r="N29" s="5">
        <f t="shared" ref="N29:N33" si="15">IF(H29=0,0,L29/H29)</f>
        <v>0.21565787770471093</v>
      </c>
      <c r="O29" s="14"/>
      <c r="P29" s="1">
        <f>SUM(OSRRefP22_1x_0)</f>
        <v>18970.560000000001</v>
      </c>
      <c r="Q29" s="1"/>
      <c r="R29" s="5">
        <f t="shared" ref="R29:R33" si="16">IF(P$12=0,0,P29/P$12)</f>
        <v>0.13024310871580105</v>
      </c>
      <c r="S29" s="1"/>
      <c r="T29" s="1">
        <f>SUM(OSRRefT22_1x_0)</f>
        <v>15605.18</v>
      </c>
      <c r="U29" s="1"/>
      <c r="V29" s="5">
        <f t="shared" ref="V29:V33" si="17">IF(T$12=0,0,T29/T$12)</f>
        <v>0.7441314195794192</v>
      </c>
      <c r="W29" s="1"/>
      <c r="X29" s="1">
        <f t="shared" ref="X29:X33" si="18">+P29-T29</f>
        <v>3365.380000000001</v>
      </c>
      <c r="Y29" s="1"/>
      <c r="Z29" s="5">
        <f t="shared" ref="Z29:Z33" si="19">IF(T29=0,0,X29/T29)</f>
        <v>0.21565787770471093</v>
      </c>
    </row>
    <row r="30" spans="1:26" s="24" customFormat="1" hidden="1" outlineLevel="2" x14ac:dyDescent="0.3">
      <c r="A30" s="27"/>
      <c r="B30" s="12" t="str">
        <f>CONCATENATE("          ", "6001", " - ", "ADMINISTRATIVE SALARIES")</f>
        <v xml:space="preserve">          6001 - ADMINISTRATIVE SALARIES</v>
      </c>
      <c r="C30" s="12"/>
      <c r="D30" s="8">
        <v>5599.1</v>
      </c>
      <c r="E30" s="3"/>
      <c r="F30" s="7">
        <f t="shared" si="12"/>
        <v>3.8440836222580758E-2</v>
      </c>
      <c r="G30" s="3"/>
      <c r="H30" s="8">
        <v>5257.72</v>
      </c>
      <c r="I30" s="3"/>
      <c r="J30" s="7">
        <f t="shared" si="13"/>
        <v>0.25071384292594534</v>
      </c>
      <c r="K30" s="3"/>
      <c r="L30" s="8">
        <f t="shared" si="14"/>
        <v>341.38000000000011</v>
      </c>
      <c r="M30" s="3"/>
      <c r="N30" s="7">
        <f t="shared" si="15"/>
        <v>6.4929284937197129E-2</v>
      </c>
      <c r="O30" s="12"/>
      <c r="P30" s="8">
        <v>5599.1</v>
      </c>
      <c r="Q30" s="3"/>
      <c r="R30" s="7">
        <f t="shared" si="16"/>
        <v>3.8440836222580758E-2</v>
      </c>
      <c r="S30" s="3"/>
      <c r="T30" s="8">
        <v>5257.72</v>
      </c>
      <c r="U30" s="3"/>
      <c r="V30" s="7">
        <f t="shared" si="17"/>
        <v>0.25071384292594534</v>
      </c>
      <c r="W30" s="3"/>
      <c r="X30" s="8">
        <f t="shared" si="18"/>
        <v>341.38000000000011</v>
      </c>
      <c r="Y30" s="3"/>
      <c r="Z30" s="7">
        <f t="shared" si="19"/>
        <v>6.4929284937197129E-2</v>
      </c>
    </row>
    <row r="31" spans="1:26" s="24" customFormat="1" hidden="1" outlineLevel="2" x14ac:dyDescent="0.3">
      <c r="A31" s="27"/>
      <c r="B31" s="12" t="str">
        <f>CONCATENATE("          ", "6002", " - ", "STAFF SALARIES")</f>
        <v xml:space="preserve">          6002 - STAFF SALARIES</v>
      </c>
      <c r="C31" s="12"/>
      <c r="D31" s="8">
        <v>5113.62</v>
      </c>
      <c r="E31" s="3"/>
      <c r="F31" s="7">
        <f t="shared" si="12"/>
        <v>3.5107754625656518E-2</v>
      </c>
      <c r="G31" s="3"/>
      <c r="H31" s="8">
        <v>2054.0700000000002</v>
      </c>
      <c r="I31" s="3"/>
      <c r="J31" s="7">
        <f t="shared" si="13"/>
        <v>9.7948118830766304E-2</v>
      </c>
      <c r="K31" s="3"/>
      <c r="L31" s="8">
        <f t="shared" si="14"/>
        <v>3059.5499999999997</v>
      </c>
      <c r="M31" s="3"/>
      <c r="N31" s="7">
        <f t="shared" si="15"/>
        <v>1.4895061998860797</v>
      </c>
      <c r="O31" s="12"/>
      <c r="P31" s="8">
        <v>5113.62</v>
      </c>
      <c r="Q31" s="3"/>
      <c r="R31" s="7">
        <f t="shared" si="16"/>
        <v>3.5107754625656518E-2</v>
      </c>
      <c r="S31" s="3"/>
      <c r="T31" s="8">
        <v>2054.0700000000002</v>
      </c>
      <c r="U31" s="3"/>
      <c r="V31" s="7">
        <f t="shared" si="17"/>
        <v>9.7948118830766304E-2</v>
      </c>
      <c r="W31" s="3"/>
      <c r="X31" s="8">
        <f t="shared" si="18"/>
        <v>3059.5499999999997</v>
      </c>
      <c r="Y31" s="3"/>
      <c r="Z31" s="7">
        <f t="shared" si="19"/>
        <v>1.4895061998860797</v>
      </c>
    </row>
    <row r="32" spans="1:26" s="24" customFormat="1" hidden="1" outlineLevel="2" x14ac:dyDescent="0.3">
      <c r="A32" s="27"/>
      <c r="B32" s="12" t="str">
        <f>CONCATENATE("          ", "6005", " - ", "TEMPORARY WAGES-HOURLY")</f>
        <v xml:space="preserve">          6005 - TEMPORARY WAGES-HOURLY</v>
      </c>
      <c r="C32" s="12"/>
      <c r="D32" s="8">
        <v>6179.64</v>
      </c>
      <c r="E32" s="3"/>
      <c r="F32" s="7">
        <f t="shared" si="12"/>
        <v>4.242655590264667E-2</v>
      </c>
      <c r="G32" s="3"/>
      <c r="H32" s="8">
        <v>6737.39</v>
      </c>
      <c r="I32" s="3"/>
      <c r="J32" s="7">
        <f t="shared" si="13"/>
        <v>0.32127175623480048</v>
      </c>
      <c r="K32" s="3"/>
      <c r="L32" s="8">
        <f t="shared" si="14"/>
        <v>-557.75</v>
      </c>
      <c r="M32" s="3"/>
      <c r="N32" s="7">
        <f t="shared" si="15"/>
        <v>-8.2784282934489459E-2</v>
      </c>
      <c r="O32" s="12"/>
      <c r="P32" s="8">
        <v>6179.64</v>
      </c>
      <c r="Q32" s="3"/>
      <c r="R32" s="7">
        <f t="shared" si="16"/>
        <v>4.242655590264667E-2</v>
      </c>
      <c r="S32" s="3"/>
      <c r="T32" s="8">
        <v>6737.39</v>
      </c>
      <c r="U32" s="3"/>
      <c r="V32" s="7">
        <f t="shared" si="17"/>
        <v>0.32127175623480048</v>
      </c>
      <c r="W32" s="3"/>
      <c r="X32" s="8">
        <f t="shared" si="18"/>
        <v>-557.75</v>
      </c>
      <c r="Y32" s="3"/>
      <c r="Z32" s="7">
        <f t="shared" si="19"/>
        <v>-8.2784282934489459E-2</v>
      </c>
    </row>
    <row r="33" spans="1:26" s="24" customFormat="1" hidden="1" outlineLevel="2" x14ac:dyDescent="0.3">
      <c r="A33" s="27"/>
      <c r="B33" s="12" t="str">
        <f>CONCATENATE("          ", "6007", " - ", "STUDENT HOURLY")</f>
        <v xml:space="preserve">          6007 - STUDENT HOURLY</v>
      </c>
      <c r="C33" s="12"/>
      <c r="D33" s="8">
        <v>2078.1999999999998</v>
      </c>
      <c r="E33" s="3"/>
      <c r="F33" s="7">
        <f t="shared" si="12"/>
        <v>1.4267961964917097E-2</v>
      </c>
      <c r="G33" s="3"/>
      <c r="H33" s="8">
        <v>1556</v>
      </c>
      <c r="I33" s="3"/>
      <c r="J33" s="7">
        <f t="shared" si="13"/>
        <v>7.4197701587907117E-2</v>
      </c>
      <c r="K33" s="3"/>
      <c r="L33" s="8">
        <f t="shared" si="14"/>
        <v>522.19999999999982</v>
      </c>
      <c r="M33" s="3"/>
      <c r="N33" s="7">
        <f t="shared" si="15"/>
        <v>0.33560411311053973</v>
      </c>
      <c r="O33" s="12"/>
      <c r="P33" s="8">
        <v>2078.1999999999998</v>
      </c>
      <c r="Q33" s="3"/>
      <c r="R33" s="7">
        <f t="shared" si="16"/>
        <v>1.4267961964917097E-2</v>
      </c>
      <c r="S33" s="3"/>
      <c r="T33" s="8">
        <v>1556</v>
      </c>
      <c r="U33" s="3"/>
      <c r="V33" s="7">
        <f t="shared" si="17"/>
        <v>7.4197701587907117E-2</v>
      </c>
      <c r="W33" s="3"/>
      <c r="X33" s="8">
        <f t="shared" si="18"/>
        <v>522.19999999999982</v>
      </c>
      <c r="Y33" s="3"/>
      <c r="Z33" s="7">
        <f t="shared" si="19"/>
        <v>0.33560411311053973</v>
      </c>
    </row>
    <row r="34" spans="1:26" s="29" customFormat="1" outlineLevel="1" collapsed="1" x14ac:dyDescent="0.3">
      <c r="A34" s="28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44.12</v>
      </c>
      <c r="E34" s="1"/>
      <c r="F34" s="5">
        <f t="shared" ref="F34:F45" si="20">IF(D$12=0,0,D34/D$12)</f>
        <v>3.0290755552504203E-4</v>
      </c>
      <c r="G34" s="1"/>
      <c r="H34" s="1">
        <f>SUM(OSRRefH22_2x_0)</f>
        <v>246.33</v>
      </c>
      <c r="I34" s="1"/>
      <c r="J34" s="5">
        <f t="shared" ref="J34:J45" si="21">IF(H$12=0,0,H34/H$12)</f>
        <v>1.1746220971818227E-2</v>
      </c>
      <c r="K34" s="1"/>
      <c r="L34" s="1">
        <f t="shared" ref="L34:L45" si="22">+D34-H34</f>
        <v>-202.21</v>
      </c>
      <c r="M34" s="1"/>
      <c r="N34" s="5">
        <f t="shared" ref="N34:N45" si="23">IF(H34=0,0,L34/H34)</f>
        <v>-0.82089067511062397</v>
      </c>
      <c r="O34" s="14"/>
      <c r="P34" s="1">
        <f>SUM(OSRRefP22_2x_0)</f>
        <v>44.12</v>
      </c>
      <c r="Q34" s="1"/>
      <c r="R34" s="5">
        <f t="shared" ref="R34:R45" si="24">IF(P$12=0,0,P34/P$12)</f>
        <v>3.0290755552504203E-4</v>
      </c>
      <c r="S34" s="1"/>
      <c r="T34" s="1">
        <f>SUM(OSRRefT22_2x_0)</f>
        <v>246.33</v>
      </c>
      <c r="U34" s="1"/>
      <c r="V34" s="5">
        <f t="shared" ref="V34:V45" si="25">IF(T$12=0,0,T34/T$12)</f>
        <v>1.1746220971818227E-2</v>
      </c>
      <c r="W34" s="1"/>
      <c r="X34" s="1">
        <f t="shared" ref="X34:X45" si="26">+P34-T34</f>
        <v>-202.21</v>
      </c>
      <c r="Y34" s="1"/>
      <c r="Z34" s="5">
        <f t="shared" ref="Z34:Z45" si="27">IF(T34=0,0,X34/T34)</f>
        <v>-0.82089067511062397</v>
      </c>
    </row>
    <row r="35" spans="1:26" s="24" customFormat="1" hidden="1" outlineLevel="2" x14ac:dyDescent="0.3">
      <c r="A35" s="27"/>
      <c r="B35" s="12" t="str">
        <f>CONCATENATE("          ", "6381", " - ", "BANK/CREDIT CARD FEES")</f>
        <v xml:space="preserve">          6381 - BANK/CREDIT CARD FEES</v>
      </c>
      <c r="C35" s="12"/>
      <c r="D35" s="8">
        <v>44.12</v>
      </c>
      <c r="E35" s="3"/>
      <c r="F35" s="7">
        <f t="shared" si="20"/>
        <v>3.0290755552504203E-4</v>
      </c>
      <c r="G35" s="3"/>
      <c r="H35" s="8">
        <v>246.33</v>
      </c>
      <c r="I35" s="3"/>
      <c r="J35" s="7">
        <f t="shared" si="21"/>
        <v>1.1746220971818227E-2</v>
      </c>
      <c r="K35" s="3"/>
      <c r="L35" s="8">
        <f t="shared" si="22"/>
        <v>-202.21</v>
      </c>
      <c r="M35" s="3"/>
      <c r="N35" s="7">
        <f t="shared" si="23"/>
        <v>-0.82089067511062397</v>
      </c>
      <c r="O35" s="12"/>
      <c r="P35" s="8">
        <v>44.12</v>
      </c>
      <c r="Q35" s="3"/>
      <c r="R35" s="7">
        <f t="shared" si="24"/>
        <v>3.0290755552504203E-4</v>
      </c>
      <c r="S35" s="3"/>
      <c r="T35" s="8">
        <v>246.33</v>
      </c>
      <c r="U35" s="3"/>
      <c r="V35" s="7">
        <f t="shared" si="25"/>
        <v>1.1746220971818227E-2</v>
      </c>
      <c r="W35" s="3"/>
      <c r="X35" s="8">
        <f t="shared" si="26"/>
        <v>-202.21</v>
      </c>
      <c r="Y35" s="3"/>
      <c r="Z35" s="7">
        <f t="shared" si="27"/>
        <v>-0.82089067511062397</v>
      </c>
    </row>
    <row r="36" spans="1:26" s="29" customFormat="1" outlineLevel="1" collapsed="1" x14ac:dyDescent="0.3">
      <c r="A36" s="28"/>
      <c r="B36" s="14" t="str">
        <f>CONCATENATE("     ","Insurance                                         ")</f>
        <v xml:space="preserve">     Insurance                                         </v>
      </c>
      <c r="C36" s="14"/>
      <c r="D36" s="1">
        <f>SUM(OSRRefD22_3x_0)</f>
        <v>39.43</v>
      </c>
      <c r="E36" s="1"/>
      <c r="F36" s="5">
        <f t="shared" si="20"/>
        <v>2.7070818028903916E-4</v>
      </c>
      <c r="G36" s="1"/>
      <c r="H36" s="1">
        <f>SUM(OSRRefH22_3x_0)</f>
        <v>29.01</v>
      </c>
      <c r="I36" s="1"/>
      <c r="J36" s="5">
        <f t="shared" si="21"/>
        <v>1.383338896571456E-3</v>
      </c>
      <c r="K36" s="1"/>
      <c r="L36" s="1">
        <f t="shared" si="22"/>
        <v>10.419999999999998</v>
      </c>
      <c r="M36" s="1"/>
      <c r="N36" s="5">
        <f t="shared" si="23"/>
        <v>0.35918648741813158</v>
      </c>
      <c r="O36" s="14"/>
      <c r="P36" s="1">
        <f>SUM(OSRRefP22_3x_0)</f>
        <v>39.43</v>
      </c>
      <c r="Q36" s="1"/>
      <c r="R36" s="5">
        <f t="shared" si="24"/>
        <v>2.7070818028903916E-4</v>
      </c>
      <c r="S36" s="1"/>
      <c r="T36" s="1">
        <f>SUM(OSRRefT22_3x_0)</f>
        <v>29.01</v>
      </c>
      <c r="U36" s="1"/>
      <c r="V36" s="5">
        <f t="shared" si="25"/>
        <v>1.383338896571456E-3</v>
      </c>
      <c r="W36" s="1"/>
      <c r="X36" s="1">
        <f t="shared" si="26"/>
        <v>10.419999999999998</v>
      </c>
      <c r="Y36" s="1"/>
      <c r="Z36" s="5">
        <f t="shared" si="27"/>
        <v>0.35918648741813158</v>
      </c>
    </row>
    <row r="37" spans="1:26" s="24" customFormat="1" hidden="1" outlineLevel="2" x14ac:dyDescent="0.3">
      <c r="A37" s="27"/>
      <c r="B37" s="12" t="str">
        <f>CONCATENATE("          ", "6314", " - ", "LIABILITY INSURANCE")</f>
        <v xml:space="preserve">          6314 - LIABILITY INSURANCE</v>
      </c>
      <c r="C37" s="12"/>
      <c r="D37" s="8">
        <v>39.43</v>
      </c>
      <c r="E37" s="3"/>
      <c r="F37" s="7">
        <f t="shared" si="20"/>
        <v>2.7070818028903916E-4</v>
      </c>
      <c r="G37" s="3"/>
      <c r="H37" s="8">
        <v>29.01</v>
      </c>
      <c r="I37" s="3"/>
      <c r="J37" s="7">
        <f t="shared" si="21"/>
        <v>1.383338896571456E-3</v>
      </c>
      <c r="K37" s="3"/>
      <c r="L37" s="8">
        <f t="shared" si="22"/>
        <v>10.419999999999998</v>
      </c>
      <c r="M37" s="3"/>
      <c r="N37" s="7">
        <f t="shared" si="23"/>
        <v>0.35918648741813158</v>
      </c>
      <c r="O37" s="12"/>
      <c r="P37" s="8">
        <v>39.43</v>
      </c>
      <c r="Q37" s="3"/>
      <c r="R37" s="7">
        <f t="shared" si="24"/>
        <v>2.7070818028903916E-4</v>
      </c>
      <c r="S37" s="3"/>
      <c r="T37" s="8">
        <v>29.01</v>
      </c>
      <c r="U37" s="3"/>
      <c r="V37" s="7">
        <f t="shared" si="25"/>
        <v>1.383338896571456E-3</v>
      </c>
      <c r="W37" s="3"/>
      <c r="X37" s="8">
        <f t="shared" si="26"/>
        <v>10.419999999999998</v>
      </c>
      <c r="Y37" s="3"/>
      <c r="Z37" s="7">
        <f t="shared" si="27"/>
        <v>0.35918648741813158</v>
      </c>
    </row>
    <row r="38" spans="1:26" s="29" customFormat="1" outlineLevel="1" collapsed="1" x14ac:dyDescent="0.3">
      <c r="A38" s="28"/>
      <c r="B38" s="14" t="str">
        <f>CONCATENATE("     ","Rent                                              ")</f>
        <v xml:space="preserve">     Rent                                              </v>
      </c>
      <c r="C38" s="14"/>
      <c r="D38" s="1">
        <f>SUM(OSRRefD22_4x_0)</f>
        <v>800</v>
      </c>
      <c r="E38" s="1"/>
      <c r="F38" s="5">
        <f t="shared" si="20"/>
        <v>5.4924307438810891E-3</v>
      </c>
      <c r="G38" s="1"/>
      <c r="H38" s="1">
        <f>SUM(OSRRefH22_4x_0)</f>
        <v>800</v>
      </c>
      <c r="I38" s="1"/>
      <c r="J38" s="5">
        <f t="shared" si="21"/>
        <v>3.8147918554193888E-2</v>
      </c>
      <c r="K38" s="1"/>
      <c r="L38" s="1">
        <f t="shared" si="22"/>
        <v>0</v>
      </c>
      <c r="M38" s="1"/>
      <c r="N38" s="5">
        <f t="shared" si="23"/>
        <v>0</v>
      </c>
      <c r="O38" s="14"/>
      <c r="P38" s="1">
        <f>SUM(OSRRefP22_4x_0)</f>
        <v>800</v>
      </c>
      <c r="Q38" s="1"/>
      <c r="R38" s="5">
        <f t="shared" si="24"/>
        <v>5.4924307438810891E-3</v>
      </c>
      <c r="S38" s="1"/>
      <c r="T38" s="1">
        <f>SUM(OSRRefT22_4x_0)</f>
        <v>800</v>
      </c>
      <c r="U38" s="1"/>
      <c r="V38" s="5">
        <f t="shared" si="25"/>
        <v>3.8147918554193888E-2</v>
      </c>
      <c r="W38" s="1"/>
      <c r="X38" s="1">
        <f t="shared" si="26"/>
        <v>0</v>
      </c>
      <c r="Y38" s="1"/>
      <c r="Z38" s="5">
        <f t="shared" si="27"/>
        <v>0</v>
      </c>
    </row>
    <row r="39" spans="1:26" s="24" customFormat="1" hidden="1" outlineLevel="2" x14ac:dyDescent="0.3">
      <c r="A39" s="27"/>
      <c r="B39" s="12" t="str">
        <f>CONCATENATE("          ", "6273", " - ", "RENT")</f>
        <v xml:space="preserve">          6273 - RENT</v>
      </c>
      <c r="C39" s="12"/>
      <c r="D39" s="8">
        <v>800</v>
      </c>
      <c r="E39" s="3"/>
      <c r="F39" s="7">
        <f t="shared" si="20"/>
        <v>5.4924307438810891E-3</v>
      </c>
      <c r="G39" s="3"/>
      <c r="H39" s="8">
        <v>800</v>
      </c>
      <c r="I39" s="3"/>
      <c r="J39" s="7">
        <f t="shared" si="21"/>
        <v>3.8147918554193888E-2</v>
      </c>
      <c r="K39" s="3"/>
      <c r="L39" s="8">
        <f t="shared" si="22"/>
        <v>0</v>
      </c>
      <c r="M39" s="3"/>
      <c r="N39" s="7">
        <f t="shared" si="23"/>
        <v>0</v>
      </c>
      <c r="O39" s="12"/>
      <c r="P39" s="8">
        <v>800</v>
      </c>
      <c r="Q39" s="3"/>
      <c r="R39" s="7">
        <f t="shared" si="24"/>
        <v>5.4924307438810891E-3</v>
      </c>
      <c r="S39" s="3"/>
      <c r="T39" s="8">
        <v>800</v>
      </c>
      <c r="U39" s="3"/>
      <c r="V39" s="7">
        <f t="shared" si="25"/>
        <v>3.8147918554193888E-2</v>
      </c>
      <c r="W39" s="3"/>
      <c r="X39" s="8">
        <f t="shared" si="26"/>
        <v>0</v>
      </c>
      <c r="Y39" s="3"/>
      <c r="Z39" s="7">
        <f t="shared" si="27"/>
        <v>0</v>
      </c>
    </row>
    <row r="40" spans="1:26" s="29" customFormat="1" outlineLevel="1" collapsed="1" x14ac:dyDescent="0.3">
      <c r="A40" s="28"/>
      <c r="B40" s="14" t="str">
        <f>CONCATENATE("     ","Repair and Maintenance                            ")</f>
        <v xml:space="preserve">     Repair and Maintenance                            </v>
      </c>
      <c r="C40" s="14"/>
      <c r="D40" s="1">
        <f>SUM(OSRRefD22_5x_0)</f>
        <v>122000.62</v>
      </c>
      <c r="E40" s="1"/>
      <c r="F40" s="5">
        <f t="shared" si="20"/>
        <v>0.83759994507569258</v>
      </c>
      <c r="G40" s="1"/>
      <c r="H40" s="1">
        <f>SUM(OSRRefH22_5x_0)</f>
        <v>0</v>
      </c>
      <c r="I40" s="1"/>
      <c r="J40" s="5">
        <f t="shared" si="21"/>
        <v>0</v>
      </c>
      <c r="K40" s="1"/>
      <c r="L40" s="1">
        <f t="shared" si="22"/>
        <v>122000.62</v>
      </c>
      <c r="M40" s="1"/>
      <c r="N40" s="5">
        <f t="shared" si="23"/>
        <v>0</v>
      </c>
      <c r="O40" s="14"/>
      <c r="P40" s="1">
        <f>SUM(OSRRefP22_5x_0)</f>
        <v>122000.62</v>
      </c>
      <c r="Q40" s="1"/>
      <c r="R40" s="5">
        <f t="shared" si="24"/>
        <v>0.83759994507569258</v>
      </c>
      <c r="S40" s="1"/>
      <c r="T40" s="1">
        <f>SUM(OSRRefT22_5x_0)</f>
        <v>0</v>
      </c>
      <c r="U40" s="1"/>
      <c r="V40" s="5">
        <f t="shared" si="25"/>
        <v>0</v>
      </c>
      <c r="W40" s="1"/>
      <c r="X40" s="1">
        <f t="shared" si="26"/>
        <v>122000.62</v>
      </c>
      <c r="Y40" s="1"/>
      <c r="Z40" s="5">
        <f t="shared" si="27"/>
        <v>0</v>
      </c>
    </row>
    <row r="41" spans="1:26" s="24" customFormat="1" hidden="1" outlineLevel="2" x14ac:dyDescent="0.3">
      <c r="A41" s="27"/>
      <c r="B41" s="12" t="str">
        <f>CONCATENATE("          ", "6373", " - ", "MAINTENANCE CONTRACTS")</f>
        <v xml:space="preserve">          6373 - MAINTENANCE CONTRACTS</v>
      </c>
      <c r="C41" s="12"/>
      <c r="D41" s="8">
        <v>122000.62</v>
      </c>
      <c r="E41" s="3"/>
      <c r="F41" s="7">
        <f t="shared" si="20"/>
        <v>0.83759994507569258</v>
      </c>
      <c r="G41" s="3"/>
      <c r="H41" s="8"/>
      <c r="I41" s="3"/>
      <c r="J41" s="7">
        <f t="shared" si="21"/>
        <v>0</v>
      </c>
      <c r="K41" s="3"/>
      <c r="L41" s="8">
        <f t="shared" si="22"/>
        <v>122000.62</v>
      </c>
      <c r="M41" s="3"/>
      <c r="N41" s="7">
        <f t="shared" si="23"/>
        <v>0</v>
      </c>
      <c r="O41" s="12"/>
      <c r="P41" s="8">
        <v>122000.62</v>
      </c>
      <c r="Q41" s="3"/>
      <c r="R41" s="7">
        <f t="shared" si="24"/>
        <v>0.83759994507569258</v>
      </c>
      <c r="S41" s="3"/>
      <c r="T41" s="8"/>
      <c r="U41" s="3"/>
      <c r="V41" s="7">
        <f t="shared" si="25"/>
        <v>0</v>
      </c>
      <c r="W41" s="3"/>
      <c r="X41" s="8">
        <f t="shared" si="26"/>
        <v>122000.62</v>
      </c>
      <c r="Y41" s="3"/>
      <c r="Z41" s="7">
        <f t="shared" si="27"/>
        <v>0</v>
      </c>
    </row>
    <row r="42" spans="1:26" s="29" customFormat="1" outlineLevel="1" collapsed="1" x14ac:dyDescent="0.3">
      <c r="A42" s="28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SUM(OSRRefD22_6x_0)</f>
        <v>356.71</v>
      </c>
      <c r="E42" s="1"/>
      <c r="F42" s="5">
        <f t="shared" si="20"/>
        <v>2.449006213312279E-3</v>
      </c>
      <c r="G42" s="1"/>
      <c r="H42" s="1">
        <f>SUM(OSRRefH22_6x_0)</f>
        <v>92.59</v>
      </c>
      <c r="I42" s="1"/>
      <c r="J42" s="5">
        <f t="shared" si="21"/>
        <v>4.4151447236660153E-3</v>
      </c>
      <c r="K42" s="1"/>
      <c r="L42" s="1">
        <f t="shared" si="22"/>
        <v>264.12</v>
      </c>
      <c r="M42" s="1"/>
      <c r="N42" s="5">
        <f t="shared" si="23"/>
        <v>2.8525758721244192</v>
      </c>
      <c r="O42" s="14"/>
      <c r="P42" s="1">
        <f>SUM(OSRRefP22_6x_0)</f>
        <v>356.71</v>
      </c>
      <c r="Q42" s="1"/>
      <c r="R42" s="5">
        <f t="shared" si="24"/>
        <v>2.449006213312279E-3</v>
      </c>
      <c r="S42" s="1"/>
      <c r="T42" s="1">
        <f>SUM(OSRRefT22_6x_0)</f>
        <v>92.59</v>
      </c>
      <c r="U42" s="1"/>
      <c r="V42" s="5">
        <f t="shared" si="25"/>
        <v>4.4151447236660153E-3</v>
      </c>
      <c r="W42" s="1"/>
      <c r="X42" s="1">
        <f t="shared" si="26"/>
        <v>264.12</v>
      </c>
      <c r="Y42" s="1"/>
      <c r="Z42" s="5">
        <f t="shared" si="27"/>
        <v>2.8525758721244192</v>
      </c>
    </row>
    <row r="43" spans="1:26" s="24" customFormat="1" hidden="1" outlineLevel="2" x14ac:dyDescent="0.3">
      <c r="A43" s="27"/>
      <c r="B43" s="12" t="str">
        <f>CONCATENATE("          ", "6241", " - ", "OFFICE EXPENSE")</f>
        <v xml:space="preserve">          6241 - OFFICE EXPENSE</v>
      </c>
      <c r="C43" s="12"/>
      <c r="D43" s="8">
        <v>356.71</v>
      </c>
      <c r="E43" s="3"/>
      <c r="F43" s="7">
        <f t="shared" si="20"/>
        <v>2.449006213312279E-3</v>
      </c>
      <c r="G43" s="3"/>
      <c r="H43" s="8">
        <v>92.59</v>
      </c>
      <c r="I43" s="3"/>
      <c r="J43" s="7">
        <f t="shared" si="21"/>
        <v>4.4151447236660153E-3</v>
      </c>
      <c r="K43" s="3"/>
      <c r="L43" s="8">
        <f t="shared" si="22"/>
        <v>264.12</v>
      </c>
      <c r="M43" s="3"/>
      <c r="N43" s="7">
        <f t="shared" si="23"/>
        <v>2.8525758721244192</v>
      </c>
      <c r="O43" s="12"/>
      <c r="P43" s="8">
        <v>356.71</v>
      </c>
      <c r="Q43" s="3"/>
      <c r="R43" s="7">
        <f t="shared" si="24"/>
        <v>2.449006213312279E-3</v>
      </c>
      <c r="S43" s="3"/>
      <c r="T43" s="8">
        <v>92.59</v>
      </c>
      <c r="U43" s="3"/>
      <c r="V43" s="7">
        <f t="shared" si="25"/>
        <v>4.4151447236660153E-3</v>
      </c>
      <c r="W43" s="3"/>
      <c r="X43" s="8">
        <f t="shared" si="26"/>
        <v>264.12</v>
      </c>
      <c r="Y43" s="3"/>
      <c r="Z43" s="7">
        <f t="shared" si="27"/>
        <v>2.8525758721244192</v>
      </c>
    </row>
    <row r="44" spans="1:26" s="29" customFormat="1" outlineLevel="1" collapsed="1" x14ac:dyDescent="0.3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SUM(OSRRefD22_7x_0)</f>
        <v>-250.25</v>
      </c>
      <c r="E44" s="1"/>
      <c r="F44" s="5">
        <f t="shared" si="20"/>
        <v>-1.718100992070303E-3</v>
      </c>
      <c r="G44" s="1"/>
      <c r="H44" s="1">
        <f>SUM(OSRRefH22_7x_0)</f>
        <v>154.93</v>
      </c>
      <c r="I44" s="1"/>
      <c r="J44" s="5">
        <f t="shared" si="21"/>
        <v>7.3878212770015737E-3</v>
      </c>
      <c r="K44" s="1"/>
      <c r="L44" s="1">
        <f t="shared" si="22"/>
        <v>-405.18</v>
      </c>
      <c r="M44" s="1"/>
      <c r="N44" s="5">
        <f t="shared" si="23"/>
        <v>-2.6152455947847413</v>
      </c>
      <c r="O44" s="14"/>
      <c r="P44" s="1">
        <f>SUM(OSRRefP22_7x_0)</f>
        <v>-250.25</v>
      </c>
      <c r="Q44" s="1"/>
      <c r="R44" s="5">
        <f t="shared" si="24"/>
        <v>-1.718100992070303E-3</v>
      </c>
      <c r="S44" s="1"/>
      <c r="T44" s="1">
        <f>SUM(OSRRefT22_7x_0)</f>
        <v>154.93</v>
      </c>
      <c r="U44" s="1"/>
      <c r="V44" s="5">
        <f t="shared" si="25"/>
        <v>7.3878212770015737E-3</v>
      </c>
      <c r="W44" s="1"/>
      <c r="X44" s="1">
        <f t="shared" si="26"/>
        <v>-405.18</v>
      </c>
      <c r="Y44" s="1"/>
      <c r="Z44" s="5">
        <f t="shared" si="27"/>
        <v>-2.6152455947847413</v>
      </c>
    </row>
    <row r="45" spans="1:26" s="24" customFormat="1" hidden="1" outlineLevel="2" x14ac:dyDescent="0.3">
      <c r="A45" s="27"/>
      <c r="B45" s="12" t="str">
        <f>CONCATENATE("          ", "6309", " - ", "TELEPHONE")</f>
        <v xml:space="preserve">          6309 - TELEPHONE</v>
      </c>
      <c r="C45" s="12"/>
      <c r="D45" s="8">
        <v>-250.25</v>
      </c>
      <c r="E45" s="3"/>
      <c r="F45" s="7">
        <f t="shared" si="20"/>
        <v>-1.718100992070303E-3</v>
      </c>
      <c r="G45" s="3"/>
      <c r="H45" s="8">
        <v>154.93</v>
      </c>
      <c r="I45" s="3"/>
      <c r="J45" s="7">
        <f t="shared" si="21"/>
        <v>7.3878212770015737E-3</v>
      </c>
      <c r="K45" s="3"/>
      <c r="L45" s="8">
        <f t="shared" si="22"/>
        <v>-405.18</v>
      </c>
      <c r="M45" s="3"/>
      <c r="N45" s="7">
        <f t="shared" si="23"/>
        <v>-2.6152455947847413</v>
      </c>
      <c r="O45" s="12"/>
      <c r="P45" s="8">
        <v>-250.25</v>
      </c>
      <c r="Q45" s="3"/>
      <c r="R45" s="7">
        <f t="shared" si="24"/>
        <v>-1.718100992070303E-3</v>
      </c>
      <c r="S45" s="3"/>
      <c r="T45" s="8">
        <v>154.93</v>
      </c>
      <c r="U45" s="3"/>
      <c r="V45" s="7">
        <f t="shared" si="25"/>
        <v>7.3878212770015737E-3</v>
      </c>
      <c r="W45" s="3"/>
      <c r="X45" s="8">
        <f t="shared" si="26"/>
        <v>-405.18</v>
      </c>
      <c r="Y45" s="3"/>
      <c r="Z45" s="7">
        <f t="shared" si="27"/>
        <v>-2.6152455947847413</v>
      </c>
    </row>
    <row r="46" spans="1:26" s="53" customFormat="1" x14ac:dyDescent="0.3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collapsed="1" x14ac:dyDescent="0.3">
      <c r="A47" s="10"/>
      <c r="B47" s="25" t="s">
        <v>292</v>
      </c>
      <c r="C47" s="10"/>
      <c r="D47" s="4">
        <f>SUM(OSRRefD25x_0)</f>
        <v>108.16</v>
      </c>
      <c r="E47" s="4"/>
      <c r="F47" s="11">
        <f t="shared" ref="F47:F48" si="28">IF(D$12=0,0,D47/D$12)</f>
        <v>7.4257663657272324E-4</v>
      </c>
      <c r="G47" s="4"/>
      <c r="H47" s="4">
        <f>SUM(OSRRefH25x_0)</f>
        <v>165</v>
      </c>
      <c r="I47" s="4"/>
      <c r="J47" s="11">
        <f t="shared" ref="J47:J48" si="29">IF(H$12=0,0,H47/H$12)</f>
        <v>7.8680082018024889E-3</v>
      </c>
      <c r="K47" s="4"/>
      <c r="L47" s="4">
        <f t="shared" ref="L47:L48" si="30">+D47-H47</f>
        <v>-56.84</v>
      </c>
      <c r="M47" s="4"/>
      <c r="N47" s="11">
        <f t="shared" ref="N47:N48" si="31">IF(H47=0,0,L47/H47)</f>
        <v>-0.3444848484848485</v>
      </c>
      <c r="O47" s="10"/>
      <c r="P47" s="4">
        <f>SUM(OSRRefP25x_0)</f>
        <v>108.16</v>
      </c>
      <c r="Q47" s="4"/>
      <c r="R47" s="11">
        <f t="shared" ref="R47:R48" si="32">IF(P$12=0,0,P47/P$12)</f>
        <v>7.4257663657272324E-4</v>
      </c>
      <c r="S47" s="4"/>
      <c r="T47" s="4">
        <f>SUM(OSRRefT25x_0)</f>
        <v>165</v>
      </c>
      <c r="U47" s="4"/>
      <c r="V47" s="11">
        <f t="shared" ref="V47:V48" si="33">IF(T$12=0,0,T47/T$12)</f>
        <v>7.8680082018024889E-3</v>
      </c>
      <c r="W47" s="4"/>
      <c r="X47" s="4">
        <f t="shared" ref="X47:X48" si="34">+P47-T47</f>
        <v>-56.84</v>
      </c>
      <c r="Y47" s="4"/>
      <c r="Z47" s="11">
        <f t="shared" ref="Z47:Z48" si="35">IF(T47=0,0,X47/T47)</f>
        <v>-0.3444848484848485</v>
      </c>
    </row>
    <row r="48" spans="1:26" s="24" customFormat="1" hidden="1" outlineLevel="1" x14ac:dyDescent="0.3">
      <c r="A48" s="50"/>
      <c r="B48" s="12" t="str">
        <f>CONCATENATE("          ", "9150", " - ", "MISC. INCOME")</f>
        <v xml:space="preserve">          9150 - MISC. INCOME</v>
      </c>
      <c r="C48" s="12"/>
      <c r="D48" s="3">
        <f>--108.16</f>
        <v>108.16</v>
      </c>
      <c r="E48" s="3"/>
      <c r="F48" s="22">
        <f t="shared" si="28"/>
        <v>7.4257663657272324E-4</v>
      </c>
      <c r="G48" s="3"/>
      <c r="H48" s="3">
        <f>--165</f>
        <v>165</v>
      </c>
      <c r="I48" s="3"/>
      <c r="J48" s="22">
        <f t="shared" si="29"/>
        <v>7.8680082018024889E-3</v>
      </c>
      <c r="K48" s="3"/>
      <c r="L48" s="3">
        <f t="shared" si="30"/>
        <v>-56.84</v>
      </c>
      <c r="M48" s="3"/>
      <c r="N48" s="22">
        <f t="shared" si="31"/>
        <v>-0.3444848484848485</v>
      </c>
      <c r="O48" s="12"/>
      <c r="P48" s="3">
        <f>--108.16</f>
        <v>108.16</v>
      </c>
      <c r="Q48" s="3"/>
      <c r="R48" s="22">
        <f t="shared" si="32"/>
        <v>7.4257663657272324E-4</v>
      </c>
      <c r="S48" s="3"/>
      <c r="T48" s="3">
        <f>--165</f>
        <v>165</v>
      </c>
      <c r="U48" s="3"/>
      <c r="V48" s="22">
        <f t="shared" si="33"/>
        <v>7.8680082018024889E-3</v>
      </c>
      <c r="W48" s="3"/>
      <c r="X48" s="3">
        <f t="shared" si="34"/>
        <v>-56.84</v>
      </c>
      <c r="Y48" s="3"/>
      <c r="Z48" s="22">
        <f t="shared" si="35"/>
        <v>-0.3444848484848485</v>
      </c>
    </row>
    <row r="49" spans="1:26" x14ac:dyDescent="0.3">
      <c r="A49" s="9"/>
      <c r="B49" s="10"/>
      <c r="C49" s="10"/>
      <c r="D49" s="2"/>
      <c r="E49" s="2"/>
      <c r="F49" s="6"/>
      <c r="G49" s="2"/>
      <c r="H49" s="2"/>
      <c r="I49" s="2"/>
      <c r="J49" s="6"/>
      <c r="K49" s="2"/>
      <c r="L49" s="2"/>
      <c r="M49" s="2"/>
      <c r="N49" s="6"/>
      <c r="O49" s="10"/>
      <c r="P49" s="2"/>
      <c r="Q49" s="2"/>
      <c r="R49" s="6"/>
      <c r="S49" s="2"/>
      <c r="T49" s="2"/>
      <c r="U49" s="2"/>
      <c r="V49" s="6"/>
      <c r="W49" s="2"/>
      <c r="X49" s="2"/>
      <c r="Y49" s="2"/>
      <c r="Z49" s="6"/>
    </row>
    <row r="50" spans="1:26" s="23" customFormat="1" x14ac:dyDescent="0.3">
      <c r="A50" s="10"/>
      <c r="B50" s="26" t="s">
        <v>276</v>
      </c>
      <c r="C50" s="26"/>
      <c r="D50" s="20">
        <f>+D17-D19+D47</f>
        <v>0.14000000001047397</v>
      </c>
      <c r="E50" s="13"/>
      <c r="F50" s="21">
        <f>IF(D$12=0,0,D50/D$12)</f>
        <v>9.6117538025110001E-7</v>
      </c>
      <c r="G50" s="13"/>
      <c r="H50" s="20">
        <f>+H17-H19+H47</f>
        <v>0.13999999999941792</v>
      </c>
      <c r="I50" s="13"/>
      <c r="J50" s="21">
        <f>IF(H$12=0,0,H50/H$12)</f>
        <v>6.6758857469561736E-6</v>
      </c>
      <c r="K50" s="16"/>
      <c r="L50" s="20">
        <f>+D50-H50</f>
        <v>1.1056044968427159E-11</v>
      </c>
      <c r="M50" s="16"/>
      <c r="N50" s="21">
        <f>IF(H50=0,0,L50/H50)</f>
        <v>7.8971749774808042E-11</v>
      </c>
      <c r="O50" s="25"/>
      <c r="P50" s="20">
        <f>+P17-P19+P47</f>
        <v>0.14000000001047397</v>
      </c>
      <c r="Q50" s="13"/>
      <c r="R50" s="21">
        <f>IF(P$12=0,0,P50/P$12)</f>
        <v>9.6117538025110001E-7</v>
      </c>
      <c r="S50" s="13"/>
      <c r="T50" s="20">
        <f>+T17-T19+T47</f>
        <v>0.13999999999941792</v>
      </c>
      <c r="U50" s="13"/>
      <c r="V50" s="21">
        <f>IF(T$12=0,0,T50/T$12)</f>
        <v>6.6758857469561736E-6</v>
      </c>
      <c r="W50" s="16"/>
      <c r="X50" s="20">
        <f>+P50-T50</f>
        <v>1.1056044968427159E-11</v>
      </c>
      <c r="Y50" s="16"/>
      <c r="Z50" s="21">
        <f>IF(T50=0,0,X50/T50)</f>
        <v>7.8971749774808042E-11</v>
      </c>
    </row>
    <row r="51" spans="1:26" x14ac:dyDescent="0.3">
      <c r="A51" s="9"/>
      <c r="B51" s="10"/>
      <c r="C51" s="9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23" customFormat="1" x14ac:dyDescent="0.3">
      <c r="A52" s="51"/>
      <c r="B52" s="10" t="s">
        <v>127</v>
      </c>
      <c r="C52" s="10"/>
      <c r="D52" s="4">
        <v>67292.009999999995</v>
      </c>
      <c r="E52" s="4"/>
      <c r="F52" s="11">
        <f>IF(D$12=0,0,D52/D$12)</f>
        <v>0.46199588067694203</v>
      </c>
      <c r="G52" s="4"/>
      <c r="H52" s="4">
        <v>10085.93</v>
      </c>
      <c r="I52" s="4"/>
      <c r="J52" s="11">
        <f>IF(H$12=0,0,H52/H$12)</f>
        <v>0.48094654522912594</v>
      </c>
      <c r="K52" s="4"/>
      <c r="L52" s="4">
        <f>+D52-H52</f>
        <v>57206.079999999994</v>
      </c>
      <c r="M52" s="4"/>
      <c r="N52" s="11">
        <f>IF(H52=0,0,L52/H52)</f>
        <v>5.6718696243182327</v>
      </c>
      <c r="O52" s="10"/>
      <c r="P52" s="4">
        <v>67292.009999999995</v>
      </c>
      <c r="Q52" s="4"/>
      <c r="R52" s="11">
        <f>IF(P$12=0,0,P52/P$12)</f>
        <v>0.46199588067694203</v>
      </c>
      <c r="S52" s="4"/>
      <c r="T52" s="4">
        <v>10085.93</v>
      </c>
      <c r="U52" s="4"/>
      <c r="V52" s="11">
        <f>IF(T$12=0,0,T52/T$12)</f>
        <v>0.48094654522912594</v>
      </c>
      <c r="W52" s="4"/>
      <c r="X52" s="4">
        <f>+P52-T52</f>
        <v>57206.079999999994</v>
      </c>
      <c r="Y52" s="4"/>
      <c r="Z52" s="11">
        <f>IF(T52=0,0,X52/T52)</f>
        <v>5.6718696243182327</v>
      </c>
    </row>
    <row r="53" spans="1:26" x14ac:dyDescent="0.3">
      <c r="A53" s="9"/>
      <c r="B53" s="10"/>
      <c r="C53" s="10"/>
      <c r="D53" s="2"/>
      <c r="E53" s="2"/>
      <c r="F53" s="6"/>
      <c r="G53" s="2"/>
      <c r="H53" s="2"/>
      <c r="I53" s="2"/>
      <c r="J53" s="6"/>
      <c r="K53" s="2"/>
      <c r="L53" s="2"/>
      <c r="M53" s="2"/>
      <c r="N53" s="6"/>
      <c r="O53" s="10"/>
      <c r="P53" s="2"/>
      <c r="Q53" s="2"/>
      <c r="R53" s="6"/>
      <c r="S53" s="2"/>
      <c r="T53" s="2"/>
      <c r="U53" s="2"/>
      <c r="V53" s="6"/>
      <c r="W53" s="2"/>
      <c r="X53" s="2"/>
      <c r="Y53" s="2"/>
      <c r="Z53" s="6"/>
    </row>
    <row r="54" spans="1:26" s="23" customFormat="1" ht="15" thickBot="1" x14ac:dyDescent="0.35">
      <c r="A54" s="10"/>
      <c r="B54" s="26" t="s">
        <v>125</v>
      </c>
      <c r="C54" s="26"/>
      <c r="D54" s="36">
        <f>+D50-D52</f>
        <v>-67291.869999999981</v>
      </c>
      <c r="E54" s="13"/>
      <c r="F54" s="34">
        <f>IF(D$12=0,0,D54/D$12)</f>
        <v>-0.4619949195015618</v>
      </c>
      <c r="G54" s="13"/>
      <c r="H54" s="36">
        <f>+H50-H52</f>
        <v>-10085.790000000001</v>
      </c>
      <c r="I54" s="13"/>
      <c r="J54" s="34">
        <f>IF(H$12=0,0,H54/H$12)</f>
        <v>-0.48093986934337901</v>
      </c>
      <c r="K54" s="16"/>
      <c r="L54" s="36">
        <f>D54-H54</f>
        <v>-57206.07999999998</v>
      </c>
      <c r="M54" s="16"/>
      <c r="N54" s="34">
        <f>IF(H54=0,0,L54/H54)</f>
        <v>5.6719483550619216</v>
      </c>
      <c r="O54" s="25"/>
      <c r="P54" s="36">
        <f>+P50-P52</f>
        <v>-67291.869999999981</v>
      </c>
      <c r="Q54" s="13"/>
      <c r="R54" s="34">
        <f>IF(P$12=0,0,P54/P$12)</f>
        <v>-0.4619949195015618</v>
      </c>
      <c r="S54" s="13"/>
      <c r="T54" s="36">
        <f>+T50-T52</f>
        <v>-10085.790000000001</v>
      </c>
      <c r="U54" s="13"/>
      <c r="V54" s="34">
        <f>IF(T$12=0,0,T54/T$12)</f>
        <v>-0.48093986934337901</v>
      </c>
      <c r="W54" s="16"/>
      <c r="X54" s="36">
        <f>P54-T54</f>
        <v>-57206.07999999998</v>
      </c>
      <c r="Y54" s="16"/>
      <c r="Z54" s="34">
        <f>IF(T54=0,0,X54/T54)</f>
        <v>5.6719483550619216</v>
      </c>
    </row>
    <row r="55" spans="1:26" ht="15" thickTop="1" x14ac:dyDescent="0.3">
      <c r="A55" s="9"/>
      <c r="B55" s="9"/>
      <c r="C55" s="9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x14ac:dyDescent="0.3">
      <c r="A56" s="9"/>
      <c r="B56" s="9"/>
      <c r="C56" s="9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23" customFormat="1" ht="15" thickBot="1" x14ac:dyDescent="0.35">
      <c r="A57" s="10"/>
      <c r="B57" s="26" t="s">
        <v>293</v>
      </c>
      <c r="C57" s="26"/>
      <c r="D57" s="31">
        <f>SUM(D54:D56)</f>
        <v>-67291.869999999981</v>
      </c>
      <c r="E57" s="13"/>
      <c r="F57" s="33">
        <f>IF(D$12=0,0,D57/D$12)</f>
        <v>-0.4619949195015618</v>
      </c>
      <c r="G57" s="13"/>
      <c r="H57" s="31">
        <f>SUM(H54:H56)</f>
        <v>-10085.790000000001</v>
      </c>
      <c r="I57" s="13"/>
      <c r="J57" s="33">
        <f>IF(H$12=0,0,H57/H$12)</f>
        <v>-0.48093986934337901</v>
      </c>
      <c r="K57" s="16"/>
      <c r="L57" s="31">
        <f>+D57-H57</f>
        <v>-57206.07999999998</v>
      </c>
      <c r="M57" s="16"/>
      <c r="N57" s="33">
        <f>IF(H57=0,0,L57/H57)</f>
        <v>5.6719483550619216</v>
      </c>
      <c r="O57" s="25"/>
      <c r="P57" s="31">
        <f>SUM(P54:P56)</f>
        <v>-67291.869999999981</v>
      </c>
      <c r="Q57" s="13"/>
      <c r="R57" s="33">
        <f>IF(P$12=0,0,P57/P$12)</f>
        <v>-0.4619949195015618</v>
      </c>
      <c r="S57" s="13"/>
      <c r="T57" s="31">
        <f>SUM(T54:T56)</f>
        <v>-10085.790000000001</v>
      </c>
      <c r="U57" s="13"/>
      <c r="V57" s="33">
        <f>IF(T$12=0,0,T57/T$12)</f>
        <v>-0.48093986934337901</v>
      </c>
      <c r="W57" s="16"/>
      <c r="X57" s="31">
        <f>+P57-T57</f>
        <v>-57206.07999999998</v>
      </c>
      <c r="Y57" s="16"/>
      <c r="Z57" s="33">
        <f>IF(T57=0,0,X57/T57)</f>
        <v>5.6719483550619216</v>
      </c>
    </row>
    <row r="58" spans="1:26" ht="15" thickTop="1" x14ac:dyDescent="0.3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3">
      <c r="A59" s="9"/>
      <c r="B59" s="59">
        <v>44462.666945868055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3">
      <c r="A60" s="9"/>
      <c r="B60" s="57" t="s">
        <v>56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3">
      <c r="A61" s="9"/>
      <c r="B61" s="61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3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40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40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40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40" customWidth="1" outlineLevel="1"/>
  </cols>
  <sheetData>
    <row r="2" spans="1:26" x14ac:dyDescent="0.3">
      <c r="D2" s="54" t="s">
        <v>23</v>
      </c>
    </row>
    <row r="3" spans="1:26" x14ac:dyDescent="0.3">
      <c r="D3" s="54" t="s">
        <v>236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62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62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62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3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3">
      <c r="B7" s="58"/>
    </row>
    <row r="8" spans="1:26" x14ac:dyDescent="0.3">
      <c r="B8" s="58"/>
    </row>
    <row r="9" spans="1:26" x14ac:dyDescent="0.3">
      <c r="B9" s="9"/>
      <c r="C9" s="9"/>
      <c r="D9" s="15" t="s">
        <v>291</v>
      </c>
      <c r="E9" s="15"/>
      <c r="F9" s="39"/>
      <c r="G9" s="15"/>
      <c r="H9" s="15"/>
      <c r="I9" s="15"/>
      <c r="J9" s="49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9"/>
      <c r="W9" s="15"/>
      <c r="X9" s="15"/>
      <c r="Y9" s="15"/>
      <c r="Z9" s="39"/>
    </row>
    <row r="10" spans="1:26" x14ac:dyDescent="0.3">
      <c r="A10" s="10"/>
      <c r="B10" s="55"/>
      <c r="C10" s="10"/>
      <c r="D10" s="42" t="s">
        <v>57</v>
      </c>
      <c r="E10" s="30"/>
      <c r="F10" s="32" t="s">
        <v>40</v>
      </c>
      <c r="G10" s="30"/>
      <c r="H10" s="45" t="s">
        <v>237</v>
      </c>
      <c r="I10" s="30"/>
      <c r="J10" s="32" t="s">
        <v>40</v>
      </c>
      <c r="K10" s="10"/>
      <c r="L10" s="42" t="s">
        <v>126</v>
      </c>
      <c r="M10" s="10"/>
      <c r="N10" s="32" t="s">
        <v>257</v>
      </c>
      <c r="O10" s="10"/>
      <c r="P10" s="56" t="s">
        <v>57</v>
      </c>
      <c r="Q10" s="30"/>
      <c r="R10" s="32" t="s">
        <v>40</v>
      </c>
      <c r="S10" s="30"/>
      <c r="T10" s="45" t="s">
        <v>237</v>
      </c>
      <c r="U10" s="30"/>
      <c r="V10" s="32" t="s">
        <v>40</v>
      </c>
      <c r="W10" s="10"/>
      <c r="X10" s="42" t="s">
        <v>126</v>
      </c>
      <c r="Y10" s="10"/>
      <c r="Z10" s="32" t="s">
        <v>257</v>
      </c>
    </row>
    <row r="11" spans="1:26" ht="15.6" x14ac:dyDescent="0.3">
      <c r="A11" s="9"/>
      <c r="B11" s="60"/>
      <c r="C11" s="9"/>
      <c r="D11" s="9"/>
      <c r="E11" s="9"/>
      <c r="F11" s="6"/>
      <c r="G11" s="9"/>
      <c r="H11" s="9"/>
      <c r="I11" s="9"/>
      <c r="J11" s="44"/>
      <c r="K11" s="9"/>
      <c r="L11" s="9"/>
      <c r="M11" s="9"/>
      <c r="N11" s="6"/>
      <c r="P11" s="9"/>
      <c r="Q11" s="9"/>
      <c r="R11" s="6"/>
      <c r="S11" s="9"/>
      <c r="T11" s="9"/>
      <c r="U11" s="9"/>
      <c r="V11" s="44"/>
      <c r="W11" s="9"/>
      <c r="X11" s="9"/>
      <c r="Y11" s="9"/>
      <c r="Z11" s="6"/>
    </row>
    <row r="12" spans="1:26" s="23" customFormat="1" collapsed="1" x14ac:dyDescent="0.3">
      <c r="A12" s="10"/>
      <c r="B12" s="25" t="s">
        <v>139</v>
      </c>
      <c r="C12" s="10"/>
      <c r="D12" s="4" t="e">
        <f ca="1">SUM(_xll.OneStop.ReportPlayer.OSRFunctions.OSRRef(D13))</f>
        <v>#NAME?</v>
      </c>
      <c r="E12" s="4"/>
      <c r="F12" s="11"/>
      <c r="G12" s="4"/>
      <c r="H12" s="4" t="e">
        <f ca="1">SUM(_xll.OneStop.ReportPlayer.OSRFunctions.OSRRef(H13))</f>
        <v>#NAME?</v>
      </c>
      <c r="I12" s="4"/>
      <c r="J12" s="11"/>
      <c r="K12" s="4"/>
      <c r="L12" s="4" t="e">
        <f t="shared" ref="L12:L13" ca="1" si="0">+D12-H12</f>
        <v>#NAME?</v>
      </c>
      <c r="M12" s="4"/>
      <c r="N12" s="11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1"/>
      <c r="S12" s="4"/>
      <c r="T12" s="4" t="e">
        <f ca="1">SUM(_xll.OneStop.ReportPlayer.OSRFunctions.OSRRef(T13))</f>
        <v>#NAME?</v>
      </c>
      <c r="U12" s="4"/>
      <c r="V12" s="11"/>
      <c r="W12" s="4"/>
      <c r="X12" s="4" t="e">
        <f t="shared" ref="X12:X13" ca="1" si="2">+P12-T12</f>
        <v>#NAME?</v>
      </c>
      <c r="Y12" s="4"/>
      <c r="Z12" s="11" t="e">
        <f t="shared" ref="Z12:Z13" ca="1" si="3">IF(T12=0,0,X12/T12)</f>
        <v>#NAME?</v>
      </c>
    </row>
    <row r="13" spans="1:26" s="24" customFormat="1" hidden="1" outlineLevel="1" x14ac:dyDescent="0.3">
      <c r="A13" s="50"/>
      <c r="B13" s="12" t="e">
        <f ca="1">CONCATENATE("          ", _xll.OneStop.ReportPlayer.OSRFunctions.OSRGet("d_Account","Code"), " - ", 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2"/>
      <c r="G13" s="3"/>
      <c r="H13" s="3" t="e">
        <f ca="1">-_xll.OneStop.ReportPlayer.OSRFunctions.OSRGet("GL_F_Trans","Value1")</f>
        <v>#NAME?</v>
      </c>
      <c r="I13" s="3"/>
      <c r="J13" s="22"/>
      <c r="K13" s="3"/>
      <c r="L13" s="3" t="e">
        <f t="shared" ca="1" si="0"/>
        <v>#NAME?</v>
      </c>
      <c r="M13" s="3"/>
      <c r="N13" s="22" t="e">
        <f t="shared" ca="1" si="1"/>
        <v>#NAME?</v>
      </c>
      <c r="O13" s="12"/>
      <c r="P13" s="3" t="e">
        <f ca="1">-_xll.OneStop.ReportPlayer.OSRFunctions.OSRGet("GL_F_Trans","Value1")</f>
        <v>#NAME?</v>
      </c>
      <c r="Q13" s="3"/>
      <c r="R13" s="22"/>
      <c r="S13" s="3"/>
      <c r="T13" s="3" t="e">
        <f ca="1">-_xll.OneStop.ReportPlayer.OSRFunctions.OSRGet("GL_F_Trans","Value1")</f>
        <v>#NAME?</v>
      </c>
      <c r="U13" s="3"/>
      <c r="V13" s="22"/>
      <c r="W13" s="3"/>
      <c r="X13" s="3" t="e">
        <f t="shared" ca="1" si="2"/>
        <v>#NAME?</v>
      </c>
      <c r="Y13" s="3"/>
      <c r="Z13" s="22" t="e">
        <f t="shared" ca="1" si="3"/>
        <v>#NAME?</v>
      </c>
    </row>
    <row r="14" spans="1:26" x14ac:dyDescent="0.3">
      <c r="A14" s="9"/>
      <c r="B14" s="10"/>
      <c r="C14" s="9"/>
      <c r="D14" s="2"/>
      <c r="E14" s="2"/>
      <c r="F14" s="6"/>
      <c r="G14" s="2"/>
      <c r="H14" s="2"/>
      <c r="I14" s="2"/>
      <c r="J14" s="6"/>
      <c r="K14" s="2"/>
      <c r="L14" s="2"/>
      <c r="M14" s="2"/>
      <c r="N14" s="6"/>
      <c r="P14" s="2"/>
      <c r="Q14" s="2"/>
      <c r="R14" s="6"/>
      <c r="S14" s="2"/>
      <c r="T14" s="2"/>
      <c r="U14" s="2"/>
      <c r="V14" s="6"/>
      <c r="W14" s="2"/>
      <c r="X14" s="2"/>
      <c r="Y14" s="2"/>
      <c r="Z14" s="6"/>
    </row>
    <row r="15" spans="1:26" s="23" customFormat="1" collapsed="1" x14ac:dyDescent="0.3">
      <c r="A15" s="10"/>
      <c r="B15" s="25" t="s">
        <v>256</v>
      </c>
      <c r="C15" s="10"/>
      <c r="D15" s="4" t="e">
        <f ca="1">SUM(_xll.OneStop.ReportPlayer.OSRFunctions.OSRRef(D16))</f>
        <v>#NAME?</v>
      </c>
      <c r="E15" s="4"/>
      <c r="F15" s="11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1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1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1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1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1" t="e">
        <f t="shared" ref="Z15:Z16" ca="1" si="11">IF(T15=0,0,X15/T15)</f>
        <v>#NAME?</v>
      </c>
    </row>
    <row r="16" spans="1:26" s="24" customFormat="1" hidden="1" outlineLevel="1" x14ac:dyDescent="0.3">
      <c r="A16" s="50"/>
      <c r="B16" s="12" t="e">
        <f ca="1">CONCATENATE("          ", _xll.OneStop.ReportPlayer.OSRFunctions.OSRGet("d_Account","Code"), " - ", 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2" t="e">
        <f t="shared" ca="1" si="4"/>
        <v>#NAME?</v>
      </c>
      <c r="G16" s="3"/>
      <c r="H16" s="3" t="e">
        <f ca="1">_xll.OneStop.ReportPlayer.OSRFunctions.OSRGet("GL_F_Trans","Value1")</f>
        <v>#NAME?</v>
      </c>
      <c r="I16" s="3"/>
      <c r="J16" s="22" t="e">
        <f t="shared" ca="1" si="5"/>
        <v>#NAME?</v>
      </c>
      <c r="K16" s="3"/>
      <c r="L16" s="3" t="e">
        <f t="shared" ca="1" si="6"/>
        <v>#NAME?</v>
      </c>
      <c r="M16" s="3"/>
      <c r="N16" s="22" t="e">
        <f t="shared" ca="1" si="7"/>
        <v>#NAME?</v>
      </c>
      <c r="O16" s="12"/>
      <c r="P16" s="3" t="e">
        <f ca="1">_xll.OneStop.ReportPlayer.OSRFunctions.OSRGet("GL_F_Trans","Value1")</f>
        <v>#NAME?</v>
      </c>
      <c r="Q16" s="3"/>
      <c r="R16" s="22" t="e">
        <f t="shared" ca="1" si="8"/>
        <v>#NAME?</v>
      </c>
      <c r="S16" s="3"/>
      <c r="T16" s="3" t="e">
        <f ca="1">_xll.OneStop.ReportPlayer.OSRFunctions.OSRGet("GL_F_Trans","Value1")</f>
        <v>#NAME?</v>
      </c>
      <c r="U16" s="3"/>
      <c r="V16" s="22" t="e">
        <f t="shared" ca="1" si="9"/>
        <v>#NAME?</v>
      </c>
      <c r="W16" s="3"/>
      <c r="X16" s="3" t="e">
        <f t="shared" ca="1" si="10"/>
        <v>#NAME?</v>
      </c>
      <c r="Y16" s="3"/>
      <c r="Z16" s="22" t="e">
        <f t="shared" ca="1" si="11"/>
        <v>#NAME?</v>
      </c>
    </row>
    <row r="17" spans="1:26" x14ac:dyDescent="0.3">
      <c r="A17" s="9"/>
      <c r="B17" s="10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10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23" customFormat="1" x14ac:dyDescent="0.3">
      <c r="A18" s="10"/>
      <c r="B18" s="26" t="s">
        <v>107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294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2" t="e">
        <f ca="1">CONCATENATE("          ", _xll.OneStop.ReportPlayer.OSRFunctions.OSRGet("d_Account","Code"), " - ", 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t="shared" ca="1" si="12"/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t="shared" ca="1" si="13"/>
        <v>#NAME?</v>
      </c>
      <c r="K22" s="3"/>
      <c r="L22" s="8" t="e">
        <f t="shared" ca="1" si="14"/>
        <v>#NAME?</v>
      </c>
      <c r="M22" s="3"/>
      <c r="N22" s="7" t="e">
        <f t="shared" ca="1" si="15"/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t="shared" ca="1" si="16"/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t="shared" ca="1" si="17"/>
        <v>#NAME?</v>
      </c>
      <c r="W22" s="3"/>
      <c r="X22" s="8" t="e">
        <f t="shared" ca="1" si="18"/>
        <v>#NAME?</v>
      </c>
      <c r="Y22" s="3"/>
      <c r="Z22" s="7" t="e">
        <f t="shared" ca="1" si="19"/>
        <v>#NAME?</v>
      </c>
    </row>
    <row r="23" spans="1:26" s="53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292</v>
      </c>
      <c r="C24" s="10"/>
      <c r="D24" s="4" t="e">
        <f ca="1">SUM(_xll.OneStop.ReportPlayer.OSRFunctions.OSRRef(D25))</f>
        <v>#NAME?</v>
      </c>
      <c r="E24" s="4"/>
      <c r="F24" s="11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1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1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1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1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1" t="e">
        <f t="shared" ref="Z24:Z25" ca="1" si="27">IF(T24=0,0,X24/T24)</f>
        <v>#NAME?</v>
      </c>
    </row>
    <row r="25" spans="1:26" s="24" customFormat="1" hidden="1" outlineLevel="1" x14ac:dyDescent="0.3">
      <c r="A25" s="50"/>
      <c r="B25" s="12" t="e">
        <f ca="1">CONCATENATE("          ", _xll.OneStop.ReportPlayer.OSRFunctions.OSRGet("d_Account","Code"), " - ", 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2" t="e">
        <f t="shared" ca="1" si="20"/>
        <v>#NAME?</v>
      </c>
      <c r="G25" s="3"/>
      <c r="H25" s="3" t="e">
        <f ca="1">-_xll.OneStop.ReportPlayer.OSRFunctions.OSRGet("GL_F_Trans","Value1")</f>
        <v>#NAME?</v>
      </c>
      <c r="I25" s="3"/>
      <c r="J25" s="22" t="e">
        <f t="shared" ca="1" si="21"/>
        <v>#NAME?</v>
      </c>
      <c r="K25" s="3"/>
      <c r="L25" s="3" t="e">
        <f t="shared" ca="1" si="22"/>
        <v>#NAME?</v>
      </c>
      <c r="M25" s="3"/>
      <c r="N25" s="22" t="e">
        <f t="shared" ca="1" si="23"/>
        <v>#NAME?</v>
      </c>
      <c r="O25" s="12"/>
      <c r="P25" s="3" t="e">
        <f ca="1">-_xll.OneStop.ReportPlayer.OSRFunctions.OSRGet("GL_F_Trans","Value1")</f>
        <v>#NAME?</v>
      </c>
      <c r="Q25" s="3"/>
      <c r="R25" s="22" t="e">
        <f t="shared" ca="1" si="24"/>
        <v>#NAME?</v>
      </c>
      <c r="S25" s="3"/>
      <c r="T25" s="3" t="e">
        <f ca="1">-_xll.OneStop.ReportPlayer.OSRFunctions.OSRGet("GL_F_Trans","Value1")</f>
        <v>#NAME?</v>
      </c>
      <c r="U25" s="3"/>
      <c r="V25" s="22" t="e">
        <f t="shared" ca="1" si="25"/>
        <v>#NAME?</v>
      </c>
      <c r="W25" s="3"/>
      <c r="X25" s="3" t="e">
        <f t="shared" ca="1" si="26"/>
        <v>#NAME?</v>
      </c>
      <c r="Y25" s="3"/>
      <c r="Z25" s="22" t="e">
        <f t="shared" ca="1" si="27"/>
        <v>#NAME?</v>
      </c>
    </row>
    <row r="26" spans="1:26" x14ac:dyDescent="0.3">
      <c r="A26" s="9"/>
      <c r="B26" s="10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10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23" customFormat="1" x14ac:dyDescent="0.3">
      <c r="A27" s="10"/>
      <c r="B27" s="26" t="s">
        <v>276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3">
      <c r="A28" s="9"/>
      <c r="B28" s="10"/>
      <c r="C28" s="9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1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1" t="e">
        <f ca="1">IF(H$12=0,0,H29/H$12)</f>
        <v>#NAME?</v>
      </c>
      <c r="K29" s="4"/>
      <c r="L29" s="4" t="e">
        <f ca="1">+D29-H29</f>
        <v>#NAME?</v>
      </c>
      <c r="M29" s="4"/>
      <c r="N29" s="11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1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1" t="e">
        <f ca="1">IF(T$12=0,0,T29/T$12)</f>
        <v>#NAME?</v>
      </c>
      <c r="W29" s="4"/>
      <c r="X29" s="4" t="e">
        <f ca="1">+P29-T29</f>
        <v>#NAME?</v>
      </c>
      <c r="Y29" s="4"/>
      <c r="Z29" s="11" t="e">
        <f ca="1">IF(T29=0,0,X29/T29)</f>
        <v>#NAME?</v>
      </c>
    </row>
    <row r="30" spans="1:26" x14ac:dyDescent="0.3">
      <c r="A30" s="9"/>
      <c r="B30" s="10"/>
      <c r="C30" s="10"/>
      <c r="D30" s="2"/>
      <c r="E30" s="2"/>
      <c r="F30" s="6"/>
      <c r="G30" s="2"/>
      <c r="H30" s="2"/>
      <c r="I30" s="2"/>
      <c r="J30" s="6"/>
      <c r="K30" s="2"/>
      <c r="L30" s="2"/>
      <c r="M30" s="2"/>
      <c r="N30" s="6"/>
      <c r="O30" s="10"/>
      <c r="P30" s="2"/>
      <c r="Q30" s="2"/>
      <c r="R30" s="6"/>
      <c r="S30" s="2"/>
      <c r="T30" s="2"/>
      <c r="U30" s="2"/>
      <c r="V30" s="6"/>
      <c r="W30" s="2"/>
      <c r="X30" s="2"/>
      <c r="Y30" s="2"/>
      <c r="Z30" s="6"/>
    </row>
    <row r="31" spans="1:26" s="23" customFormat="1" ht="15" thickBot="1" x14ac:dyDescent="0.35">
      <c r="A31" s="10"/>
      <c r="B31" s="26" t="s">
        <v>125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" thickTop="1" x14ac:dyDescent="0.3">
      <c r="A32" s="9"/>
      <c r="B32" s="9"/>
      <c r="C32" s="9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1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1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1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1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1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1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1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1" t="e">
        <f t="shared" ca="1" si="29"/>
        <v>#NAME?</v>
      </c>
      <c r="K34" s="4"/>
      <c r="L34" s="4" t="e">
        <f t="shared" ca="1" si="30"/>
        <v>#NAME?</v>
      </c>
      <c r="M34" s="4"/>
      <c r="N34" s="11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1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1" t="e">
        <f t="shared" ca="1" si="33"/>
        <v>#NAME?</v>
      </c>
      <c r="W34" s="4"/>
      <c r="X34" s="4" t="e">
        <f t="shared" ca="1" si="34"/>
        <v>#NAME?</v>
      </c>
      <c r="Y34" s="4"/>
      <c r="Z34" s="11" t="e">
        <f t="shared" ca="1" si="35"/>
        <v>#NAME?</v>
      </c>
    </row>
    <row r="35" spans="1:26" x14ac:dyDescent="0.3">
      <c r="A35" s="9"/>
      <c r="B35" s="9"/>
      <c r="C35" s="9"/>
      <c r="D35" s="2"/>
      <c r="E35" s="2"/>
      <c r="F35" s="6"/>
      <c r="G35" s="2"/>
      <c r="H35" s="2"/>
      <c r="I35" s="2"/>
      <c r="J35" s="6"/>
      <c r="K35" s="2"/>
      <c r="L35" s="2"/>
      <c r="M35" s="2"/>
      <c r="N35" s="6"/>
      <c r="P35" s="2"/>
      <c r="Q35" s="2"/>
      <c r="R35" s="6"/>
      <c r="S35" s="2"/>
      <c r="T35" s="2"/>
      <c r="U35" s="2"/>
      <c r="V35" s="6"/>
      <c r="W35" s="2"/>
      <c r="X35" s="2"/>
      <c r="Y35" s="2"/>
      <c r="Z35" s="6"/>
    </row>
    <row r="36" spans="1:26" s="23" customFormat="1" ht="15" thickBot="1" x14ac:dyDescent="0.35">
      <c r="A36" s="10"/>
      <c r="B36" s="26" t="s">
        <v>293</v>
      </c>
      <c r="C36" s="26"/>
      <c r="D36" s="31" t="e">
        <f ca="1">SUM(D31:D35)</f>
        <v>#NAME?</v>
      </c>
      <c r="E36" s="13"/>
      <c r="F36" s="33" t="e">
        <f ca="1">IF(D$12=0,0,D36/D$12)</f>
        <v>#NAME?</v>
      </c>
      <c r="G36" s="13"/>
      <c r="H36" s="31" t="e">
        <f ca="1">SUM(H31:H35)</f>
        <v>#NAME?</v>
      </c>
      <c r="I36" s="13"/>
      <c r="J36" s="33" t="e">
        <f ca="1">IF(H$12=0,0,H36/H$12)</f>
        <v>#NAME?</v>
      </c>
      <c r="K36" s="16"/>
      <c r="L36" s="31" t="e">
        <f ca="1">+D36-H36</f>
        <v>#NAME?</v>
      </c>
      <c r="M36" s="16"/>
      <c r="N36" s="33" t="e">
        <f ca="1">IF(H36=0,0,L36/H36)</f>
        <v>#NAME?</v>
      </c>
      <c r="O36" s="25"/>
      <c r="P36" s="31" t="e">
        <f ca="1">SUM(P31:P35)</f>
        <v>#NAME?</v>
      </c>
      <c r="Q36" s="13"/>
      <c r="R36" s="33" t="e">
        <f ca="1">IF(P$12=0,0,P36/P$12)</f>
        <v>#NAME?</v>
      </c>
      <c r="S36" s="13"/>
      <c r="T36" s="31" t="e">
        <f ca="1">SUM(T31:T35)</f>
        <v>#NAME?</v>
      </c>
      <c r="U36" s="13"/>
      <c r="V36" s="33" t="e">
        <f ca="1">IF(T$12=0,0,T36/T$12)</f>
        <v>#NAME?</v>
      </c>
      <c r="W36" s="16"/>
      <c r="X36" s="31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3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3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3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3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2912</vt:i4>
      </vt:variant>
    </vt:vector>
  </HeadingPairs>
  <TitlesOfParts>
    <vt:vector size="3008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'324'!OSRRefD13x_0</vt:lpstr>
      <vt:lpstr>'326'!OSRRefD13x_0</vt:lpstr>
      <vt:lpstr>'330'!OSRRefD13x_0</vt:lpstr>
      <vt:lpstr>'331'!OSRRefD13x_0</vt:lpstr>
      <vt:lpstr>'332'!OSRRefD13x_0</vt:lpstr>
      <vt:lpstr>'414'!OSRRefD13x_0</vt:lpstr>
      <vt:lpstr>'415'!OSRRefD13x_0</vt:lpstr>
      <vt:lpstr>'433'!OSRRefD13x_0</vt:lpstr>
      <vt:lpstr>'444'!OSRRefD13x_0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'317'!OSRRefD16x_0</vt:lpstr>
      <vt:lpstr>'322'!OSRRefD16x_0</vt:lpstr>
      <vt:lpstr>'324'!OSRRefD16x_0</vt:lpstr>
      <vt:lpstr>'325'!OSRRefD16x_0</vt:lpstr>
      <vt:lpstr>'326'!OSRRefD16x_0</vt:lpstr>
      <vt:lpstr>'330'!OSRRefD16x_0</vt:lpstr>
      <vt:lpstr>'331'!OSRRefD16x_0</vt:lpstr>
      <vt:lpstr>'332'!OSRRefD16x_0</vt:lpstr>
      <vt:lpstr>'415'!OSRRefD16x_0</vt:lpstr>
      <vt:lpstr>'425'!OSRRefD16x_0</vt:lpstr>
      <vt:lpstr>'433'!OSRRefD16x_0</vt:lpstr>
      <vt:lpstr>'444'!OSRRefD16x_0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'300'!OSRRefD22_10x_0</vt:lpstr>
      <vt:lpstr>'300 &amp; 317'!OSRRefD22_10x_0</vt:lpstr>
      <vt:lpstr>'301'!OSRRefD22_10x_0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'326'!OSRRefD22_10x_0</vt:lpstr>
      <vt:lpstr>'331'!OSRRefD22_10x_0</vt:lpstr>
      <vt:lpstr>'411'!OSRRefD22_10x_0</vt:lpstr>
      <vt:lpstr>'415'!OSRRefD22_10x_0</vt:lpstr>
      <vt:lpstr>'433'!OSRRefD22_10x_0</vt:lpstr>
      <vt:lpstr>'444'!OSRRefD22_10x_0</vt:lpstr>
      <vt:lpstr>'491'!OSRRefD22_10x_0</vt:lpstr>
      <vt:lpstr>'492'!OSRRefD22_10x_0</vt:lpstr>
      <vt:lpstr>'Div 2'!OSRRefD22_10x_0</vt:lpstr>
      <vt:lpstr>'Div 3'!OSRRefD22_10x_0</vt:lpstr>
      <vt:lpstr>'Div 4'!OSRRefD22_10x_0</vt:lpstr>
      <vt:lpstr>Summary!OSRRefD22_10x_0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'326'!OSRRefD22_11x_0</vt:lpstr>
      <vt:lpstr>'331'!OSRRefD22_11x_0</vt:lpstr>
      <vt:lpstr>'411'!OSRRefD22_11x_0</vt:lpstr>
      <vt:lpstr>'415'!OSRRefD22_11x_0</vt:lpstr>
      <vt:lpstr>'444'!OSRRefD22_11x_0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'300'!OSRRefD22_12x_0</vt:lpstr>
      <vt:lpstr>'300 &amp; 317'!OSRRefD22_12x_0</vt:lpstr>
      <vt:lpstr>'301'!OSRRefD22_12x_0</vt:lpstr>
      <vt:lpstr>'308'!OSRRefD22_12x_0</vt:lpstr>
      <vt:lpstr>'310 &amp; 491'!OSRRefD22_12x_0</vt:lpstr>
      <vt:lpstr>'311'!OSRRefD22_12x_0</vt:lpstr>
      <vt:lpstr>'326'!OSRRefD22_12x_0</vt:lpstr>
      <vt:lpstr>'331'!OSRRefD22_12x_0</vt:lpstr>
      <vt:lpstr>'411'!OSRRefD22_12x_0</vt:lpstr>
      <vt:lpstr>'415'!OSRRefD22_12x_0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'300'!OSRRefD22_13x_0</vt:lpstr>
      <vt:lpstr>'300 &amp; 317'!OSRRefD22_13x_0</vt:lpstr>
      <vt:lpstr>'301'!OSRRefD22_13x_0</vt:lpstr>
      <vt:lpstr>'308'!OSRRefD22_13x_0</vt:lpstr>
      <vt:lpstr>'310 &amp; 491'!OSRRefD22_13x_0</vt:lpstr>
      <vt:lpstr>'311'!OSRRefD22_13x_0</vt:lpstr>
      <vt:lpstr>'326'!OSRRefD22_13x_0</vt:lpstr>
      <vt:lpstr>'331'!OSRRefD22_13x_0</vt:lpstr>
      <vt:lpstr>'415'!OSRRefD22_13x_0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 &amp; 491'!OSRRefD22_14x_0</vt:lpstr>
      <vt:lpstr>'326'!OSRRefD22_14x_0</vt:lpstr>
      <vt:lpstr>'331'!OSRRefD22_14x_0</vt:lpstr>
      <vt:lpstr>'415'!OSRRefD22_14x_0</vt:lpstr>
      <vt:lpstr>'491'!OSRRefD22_14x_0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 &amp; 491'!OSRRefD22_15x_0</vt:lpstr>
      <vt:lpstr>'331'!OSRRefD22_15x_0</vt:lpstr>
      <vt:lpstr>'415'!OSRRefD22_15x_0</vt:lpstr>
      <vt:lpstr>'491'!OSRRefD22_15x_0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'331'!OSRRefD22_16x_0</vt:lpstr>
      <vt:lpstr>'491'!OSRRefD22_16x_0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'331'!OSRRefD22_17x_0</vt:lpstr>
      <vt:lpstr>'491'!OSRRefD22_17x_0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'Div 3'!OSRRefD22_19x_0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'Div 3'!OSRRefD22_20x_0</vt:lpstr>
      <vt:lpstr>Summary!OSRRefD22_20x_0</vt:lpstr>
      <vt:lpstr>'300'!OSRRefD22_21x_0</vt:lpstr>
      <vt:lpstr>'300 &amp; 317'!OSRRefD22_21x_0</vt:lpstr>
      <vt:lpstr>'Div 3'!OSRRefD22_21x_0</vt:lpstr>
      <vt:lpstr>Summary!OSRRefD22_21x_0</vt:lpstr>
      <vt:lpstr>'300'!OSRRefD22_22x_0</vt:lpstr>
      <vt:lpstr>'300 &amp; 317'!OSRRefD22_22x_0</vt:lpstr>
      <vt:lpstr>'Div 3'!OSRRefD22_22x_0</vt:lpstr>
      <vt:lpstr>Summary!OSRRefD22_22x_0</vt:lpstr>
      <vt:lpstr>'Div 3'!OSRRefD22_23x_0</vt:lpstr>
      <vt:lpstr>Summary!OSRRefD22_23x_0</vt:lpstr>
      <vt:lpstr>Summary!OSRRefD22_24x_0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'415'!OSRRefD22_3x_0</vt:lpstr>
      <vt:lpstr>'418'!OSRRefD22_3x_0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'413'!OSRRefD22_4x_0</vt:lpstr>
      <vt:lpstr>'415'!OSRRefD22_4x_0</vt:lpstr>
      <vt:lpstr>'418'!OSRRefD22_4x_0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'300'!OSRRefD22_6x_0</vt:lpstr>
      <vt:lpstr>'300 &amp; 317'!OSRRefD22_6x_0</vt:lpstr>
      <vt:lpstr>'301'!OSRRefD22_6x_0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'300'!OSRRefD22_7x_0</vt:lpstr>
      <vt:lpstr>'300 &amp; 317'!OSRRefD22_7x_0</vt:lpstr>
      <vt:lpstr>'301'!OSRRefD22_7x_0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'Div 2'!OSRRefD22_8x_0</vt:lpstr>
      <vt:lpstr>'Div 3'!OSRRefD22_8x_0</vt:lpstr>
      <vt:lpstr>'Div 4'!OSRRefD22_8x_0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'317'!OSRRefD22_9x_0</vt:lpstr>
      <vt:lpstr>'325'!OSRRefD22_9x_0</vt:lpstr>
      <vt:lpstr>'326'!OSRRefD22_9x_0</vt:lpstr>
      <vt:lpstr>'331'!OSRRefD22_9x_0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'491'!OSRRefD22_9x_0</vt:lpstr>
      <vt:lpstr>'492'!OSRRefD22_9x_0</vt:lpstr>
      <vt:lpstr>'Div 2'!OSRRefD22_9x_0</vt:lpstr>
      <vt:lpstr>'Div 3'!OSRRefD22_9x_0</vt:lpstr>
      <vt:lpstr>'Div 4'!OSRRefD22_9x_0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'324'!OSRRefH13x_0</vt:lpstr>
      <vt:lpstr>'326'!OSRRefH13x_0</vt:lpstr>
      <vt:lpstr>'330'!OSRRefH13x_0</vt:lpstr>
      <vt:lpstr>'331'!OSRRefH13x_0</vt:lpstr>
      <vt:lpstr>'332'!OSRRefH13x_0</vt:lpstr>
      <vt:lpstr>'414'!OSRRefH13x_0</vt:lpstr>
      <vt:lpstr>'415'!OSRRefH13x_0</vt:lpstr>
      <vt:lpstr>'433'!OSRRefH13x_0</vt:lpstr>
      <vt:lpstr>'444'!OSRRefH13x_0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'317'!OSRRefH16x_0</vt:lpstr>
      <vt:lpstr>'322'!OSRRefH16x_0</vt:lpstr>
      <vt:lpstr>'324'!OSRRefH16x_0</vt:lpstr>
      <vt:lpstr>'325'!OSRRefH16x_0</vt:lpstr>
      <vt:lpstr>'326'!OSRRefH16x_0</vt:lpstr>
      <vt:lpstr>'330'!OSRRefH16x_0</vt:lpstr>
      <vt:lpstr>'331'!OSRRefH16x_0</vt:lpstr>
      <vt:lpstr>'332'!OSRRefH16x_0</vt:lpstr>
      <vt:lpstr>'415'!OSRRefH16x_0</vt:lpstr>
      <vt:lpstr>'425'!OSRRefH16x_0</vt:lpstr>
      <vt:lpstr>'433'!OSRRefH16x_0</vt:lpstr>
      <vt:lpstr>'444'!OSRRefH16x_0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'300'!OSRRefH22_10x_0</vt:lpstr>
      <vt:lpstr>'300 &amp; 317'!OSRRefH22_10x_0</vt:lpstr>
      <vt:lpstr>'301'!OSRRefH22_10x_0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'326'!OSRRefH22_10x_0</vt:lpstr>
      <vt:lpstr>'331'!OSRRefH22_10x_0</vt:lpstr>
      <vt:lpstr>'411'!OSRRefH22_10x_0</vt:lpstr>
      <vt:lpstr>'415'!OSRRefH22_10x_0</vt:lpstr>
      <vt:lpstr>'433'!OSRRefH22_10x_0</vt:lpstr>
      <vt:lpstr>'444'!OSRRefH22_10x_0</vt:lpstr>
      <vt:lpstr>'491'!OSRRefH22_10x_0</vt:lpstr>
      <vt:lpstr>'492'!OSRRefH22_10x_0</vt:lpstr>
      <vt:lpstr>'Div 2'!OSRRefH22_10x_0</vt:lpstr>
      <vt:lpstr>'Div 3'!OSRRefH22_10x_0</vt:lpstr>
      <vt:lpstr>'Div 4'!OSRRefH22_10x_0</vt:lpstr>
      <vt:lpstr>Summary!OSRRefH22_10x_0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'326'!OSRRefH22_11x_0</vt:lpstr>
      <vt:lpstr>'331'!OSRRefH22_11x_0</vt:lpstr>
      <vt:lpstr>'411'!OSRRefH22_11x_0</vt:lpstr>
      <vt:lpstr>'415'!OSRRefH22_11x_0</vt:lpstr>
      <vt:lpstr>'444'!OSRRefH22_11x_0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'300'!OSRRefH22_12x_0</vt:lpstr>
      <vt:lpstr>'300 &amp; 317'!OSRRefH22_12x_0</vt:lpstr>
      <vt:lpstr>'301'!OSRRefH22_12x_0</vt:lpstr>
      <vt:lpstr>'308'!OSRRefH22_12x_0</vt:lpstr>
      <vt:lpstr>'310 &amp; 491'!OSRRefH22_12x_0</vt:lpstr>
      <vt:lpstr>'311'!OSRRefH22_12x_0</vt:lpstr>
      <vt:lpstr>'326'!OSRRefH22_12x_0</vt:lpstr>
      <vt:lpstr>'331'!OSRRefH22_12x_0</vt:lpstr>
      <vt:lpstr>'411'!OSRRefH22_12x_0</vt:lpstr>
      <vt:lpstr>'415'!OSRRefH22_12x_0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'300'!OSRRefH22_13x_0</vt:lpstr>
      <vt:lpstr>'300 &amp; 317'!OSRRefH22_13x_0</vt:lpstr>
      <vt:lpstr>'301'!OSRRefH22_13x_0</vt:lpstr>
      <vt:lpstr>'308'!OSRRefH22_13x_0</vt:lpstr>
      <vt:lpstr>'310 &amp; 491'!OSRRefH22_13x_0</vt:lpstr>
      <vt:lpstr>'311'!OSRRefH22_13x_0</vt:lpstr>
      <vt:lpstr>'326'!OSRRefH22_13x_0</vt:lpstr>
      <vt:lpstr>'331'!OSRRefH22_13x_0</vt:lpstr>
      <vt:lpstr>'415'!OSRRefH22_13x_0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 &amp; 491'!OSRRefH22_14x_0</vt:lpstr>
      <vt:lpstr>'326'!OSRRefH22_14x_0</vt:lpstr>
      <vt:lpstr>'331'!OSRRefH22_14x_0</vt:lpstr>
      <vt:lpstr>'415'!OSRRefH22_14x_0</vt:lpstr>
      <vt:lpstr>'491'!OSRRefH22_14x_0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 &amp; 491'!OSRRefH22_15x_0</vt:lpstr>
      <vt:lpstr>'331'!OSRRefH22_15x_0</vt:lpstr>
      <vt:lpstr>'415'!OSRRefH22_15x_0</vt:lpstr>
      <vt:lpstr>'491'!OSRRefH22_15x_0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'331'!OSRRefH22_16x_0</vt:lpstr>
      <vt:lpstr>'491'!OSRRefH22_16x_0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'331'!OSRRefH22_17x_0</vt:lpstr>
      <vt:lpstr>'491'!OSRRefH22_17x_0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'Div 3'!OSRRefH22_19x_0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'Div 3'!OSRRefH22_20x_0</vt:lpstr>
      <vt:lpstr>Summary!OSRRefH22_20x_0</vt:lpstr>
      <vt:lpstr>'300'!OSRRefH22_21x_0</vt:lpstr>
      <vt:lpstr>'300 &amp; 317'!OSRRefH22_21x_0</vt:lpstr>
      <vt:lpstr>'Div 3'!OSRRefH22_21x_0</vt:lpstr>
      <vt:lpstr>Summary!OSRRefH22_21x_0</vt:lpstr>
      <vt:lpstr>'300'!OSRRefH22_22x_0</vt:lpstr>
      <vt:lpstr>'300 &amp; 317'!OSRRefH22_22x_0</vt:lpstr>
      <vt:lpstr>'Div 3'!OSRRefH22_22x_0</vt:lpstr>
      <vt:lpstr>Summary!OSRRefH22_22x_0</vt:lpstr>
      <vt:lpstr>'Div 3'!OSRRefH22_23x_0</vt:lpstr>
      <vt:lpstr>Summary!OSRRefH22_23x_0</vt:lpstr>
      <vt:lpstr>Summary!OSRRefH22_24x_0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'415'!OSRRefH22_3x_0</vt:lpstr>
      <vt:lpstr>'418'!OSRRefH22_3x_0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'413'!OSRRefH22_4x_0</vt:lpstr>
      <vt:lpstr>'415'!OSRRefH22_4x_0</vt:lpstr>
      <vt:lpstr>'418'!OSRRefH22_4x_0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'300'!OSRRefH22_6x_0</vt:lpstr>
      <vt:lpstr>'300 &amp; 317'!OSRRefH22_6x_0</vt:lpstr>
      <vt:lpstr>'301'!OSRRefH22_6x_0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'300'!OSRRefH22_7x_0</vt:lpstr>
      <vt:lpstr>'300 &amp; 317'!OSRRefH22_7x_0</vt:lpstr>
      <vt:lpstr>'301'!OSRRefH22_7x_0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'Div 2'!OSRRefH22_8x_0</vt:lpstr>
      <vt:lpstr>'Div 3'!OSRRefH22_8x_0</vt:lpstr>
      <vt:lpstr>'Div 4'!OSRRefH22_8x_0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'317'!OSRRefH22_9x_0</vt:lpstr>
      <vt:lpstr>'325'!OSRRefH22_9x_0</vt:lpstr>
      <vt:lpstr>'326'!OSRRefH22_9x_0</vt:lpstr>
      <vt:lpstr>'331'!OSRRefH22_9x_0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'491'!OSRRefH22_9x_0</vt:lpstr>
      <vt:lpstr>'492'!OSRRefH22_9x_0</vt:lpstr>
      <vt:lpstr>'Div 2'!OSRRefH22_9x_0</vt:lpstr>
      <vt:lpstr>'Div 3'!OSRRefH22_9x_0</vt:lpstr>
      <vt:lpstr>'Div 4'!OSRRefH22_9x_0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'324'!OSRRefP13x_0</vt:lpstr>
      <vt:lpstr>'326'!OSRRefP13x_0</vt:lpstr>
      <vt:lpstr>'330'!OSRRefP13x_0</vt:lpstr>
      <vt:lpstr>'331'!OSRRefP13x_0</vt:lpstr>
      <vt:lpstr>'332'!OSRRefP13x_0</vt:lpstr>
      <vt:lpstr>'414'!OSRRefP13x_0</vt:lpstr>
      <vt:lpstr>'415'!OSRRefP13x_0</vt:lpstr>
      <vt:lpstr>'433'!OSRRefP13x_0</vt:lpstr>
      <vt:lpstr>'444'!OSRRefP13x_0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'317'!OSRRefP16x_0</vt:lpstr>
      <vt:lpstr>'322'!OSRRefP16x_0</vt:lpstr>
      <vt:lpstr>'324'!OSRRefP16x_0</vt:lpstr>
      <vt:lpstr>'325'!OSRRefP16x_0</vt:lpstr>
      <vt:lpstr>'326'!OSRRefP16x_0</vt:lpstr>
      <vt:lpstr>'330'!OSRRefP16x_0</vt:lpstr>
      <vt:lpstr>'331'!OSRRefP16x_0</vt:lpstr>
      <vt:lpstr>'332'!OSRRefP16x_0</vt:lpstr>
      <vt:lpstr>'415'!OSRRefP16x_0</vt:lpstr>
      <vt:lpstr>'425'!OSRRefP16x_0</vt:lpstr>
      <vt:lpstr>'433'!OSRRefP16x_0</vt:lpstr>
      <vt:lpstr>'444'!OSRRefP16x_0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'300'!OSRRefP22_10x_0</vt:lpstr>
      <vt:lpstr>'300 &amp; 317'!OSRRefP22_10x_0</vt:lpstr>
      <vt:lpstr>'301'!OSRRefP22_10x_0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'326'!OSRRefP22_10x_0</vt:lpstr>
      <vt:lpstr>'331'!OSRRefP22_10x_0</vt:lpstr>
      <vt:lpstr>'411'!OSRRefP22_10x_0</vt:lpstr>
      <vt:lpstr>'415'!OSRRefP22_10x_0</vt:lpstr>
      <vt:lpstr>'433'!OSRRefP22_10x_0</vt:lpstr>
      <vt:lpstr>'444'!OSRRefP22_10x_0</vt:lpstr>
      <vt:lpstr>'491'!OSRRefP22_10x_0</vt:lpstr>
      <vt:lpstr>'492'!OSRRefP22_10x_0</vt:lpstr>
      <vt:lpstr>'Div 2'!OSRRefP22_10x_0</vt:lpstr>
      <vt:lpstr>'Div 3'!OSRRefP22_10x_0</vt:lpstr>
      <vt:lpstr>'Div 4'!OSRRefP22_10x_0</vt:lpstr>
      <vt:lpstr>Summary!OSRRefP22_10x_0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'326'!OSRRefP22_11x_0</vt:lpstr>
      <vt:lpstr>'331'!OSRRefP22_11x_0</vt:lpstr>
      <vt:lpstr>'411'!OSRRefP22_11x_0</vt:lpstr>
      <vt:lpstr>'415'!OSRRefP22_11x_0</vt:lpstr>
      <vt:lpstr>'444'!OSRRefP22_11x_0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'300'!OSRRefP22_12x_0</vt:lpstr>
      <vt:lpstr>'300 &amp; 317'!OSRRefP22_12x_0</vt:lpstr>
      <vt:lpstr>'301'!OSRRefP22_12x_0</vt:lpstr>
      <vt:lpstr>'308'!OSRRefP22_12x_0</vt:lpstr>
      <vt:lpstr>'310 &amp; 491'!OSRRefP22_12x_0</vt:lpstr>
      <vt:lpstr>'311'!OSRRefP22_12x_0</vt:lpstr>
      <vt:lpstr>'326'!OSRRefP22_12x_0</vt:lpstr>
      <vt:lpstr>'331'!OSRRefP22_12x_0</vt:lpstr>
      <vt:lpstr>'411'!OSRRefP22_12x_0</vt:lpstr>
      <vt:lpstr>'415'!OSRRefP22_12x_0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'300'!OSRRefP22_13x_0</vt:lpstr>
      <vt:lpstr>'300 &amp; 317'!OSRRefP22_13x_0</vt:lpstr>
      <vt:lpstr>'301'!OSRRefP22_13x_0</vt:lpstr>
      <vt:lpstr>'308'!OSRRefP22_13x_0</vt:lpstr>
      <vt:lpstr>'310 &amp; 491'!OSRRefP22_13x_0</vt:lpstr>
      <vt:lpstr>'311'!OSRRefP22_13x_0</vt:lpstr>
      <vt:lpstr>'326'!OSRRefP22_13x_0</vt:lpstr>
      <vt:lpstr>'331'!OSRRefP22_13x_0</vt:lpstr>
      <vt:lpstr>'415'!OSRRefP22_13x_0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 &amp; 491'!OSRRefP22_14x_0</vt:lpstr>
      <vt:lpstr>'326'!OSRRefP22_14x_0</vt:lpstr>
      <vt:lpstr>'331'!OSRRefP22_14x_0</vt:lpstr>
      <vt:lpstr>'415'!OSRRefP22_14x_0</vt:lpstr>
      <vt:lpstr>'491'!OSRRefP22_14x_0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 &amp; 491'!OSRRefP22_15x_0</vt:lpstr>
      <vt:lpstr>'331'!OSRRefP22_15x_0</vt:lpstr>
      <vt:lpstr>'415'!OSRRefP22_15x_0</vt:lpstr>
      <vt:lpstr>'491'!OSRRefP22_15x_0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'331'!OSRRefP22_16x_0</vt:lpstr>
      <vt:lpstr>'491'!OSRRefP22_16x_0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'331'!OSRRefP22_17x_0</vt:lpstr>
      <vt:lpstr>'491'!OSRRefP22_17x_0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'Div 3'!OSRRefP22_19x_0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'Div 3'!OSRRefP22_20x_0</vt:lpstr>
      <vt:lpstr>Summary!OSRRefP22_20x_0</vt:lpstr>
      <vt:lpstr>'300'!OSRRefP22_21x_0</vt:lpstr>
      <vt:lpstr>'300 &amp; 317'!OSRRefP22_21x_0</vt:lpstr>
      <vt:lpstr>'Div 3'!OSRRefP22_21x_0</vt:lpstr>
      <vt:lpstr>Summary!OSRRefP22_21x_0</vt:lpstr>
      <vt:lpstr>'300'!OSRRefP22_22x_0</vt:lpstr>
      <vt:lpstr>'300 &amp; 317'!OSRRefP22_22x_0</vt:lpstr>
      <vt:lpstr>'Div 3'!OSRRefP22_22x_0</vt:lpstr>
      <vt:lpstr>Summary!OSRRefP22_22x_0</vt:lpstr>
      <vt:lpstr>'Div 3'!OSRRefP22_23x_0</vt:lpstr>
      <vt:lpstr>Summary!OSRRefP22_23x_0</vt:lpstr>
      <vt:lpstr>Summary!OSRRefP22_24x_0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'415'!OSRRefP22_3x_0</vt:lpstr>
      <vt:lpstr>'418'!OSRRefP22_3x_0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'413'!OSRRefP22_4x_0</vt:lpstr>
      <vt:lpstr>'415'!OSRRefP22_4x_0</vt:lpstr>
      <vt:lpstr>'418'!OSRRefP22_4x_0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'300'!OSRRefP22_6x_0</vt:lpstr>
      <vt:lpstr>'300 &amp; 317'!OSRRefP22_6x_0</vt:lpstr>
      <vt:lpstr>'301'!OSRRefP22_6x_0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'300'!OSRRefP22_7x_0</vt:lpstr>
      <vt:lpstr>'300 &amp; 317'!OSRRefP22_7x_0</vt:lpstr>
      <vt:lpstr>'301'!OSRRefP22_7x_0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'Div 2'!OSRRefP22_8x_0</vt:lpstr>
      <vt:lpstr>'Div 3'!OSRRefP22_8x_0</vt:lpstr>
      <vt:lpstr>'Div 4'!OSRRefP22_8x_0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'317'!OSRRefP22_9x_0</vt:lpstr>
      <vt:lpstr>'325'!OSRRefP22_9x_0</vt:lpstr>
      <vt:lpstr>'326'!OSRRefP22_9x_0</vt:lpstr>
      <vt:lpstr>'331'!OSRRefP22_9x_0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'491'!OSRRefP22_9x_0</vt:lpstr>
      <vt:lpstr>'492'!OSRRefP22_9x_0</vt:lpstr>
      <vt:lpstr>'Div 2'!OSRRefP22_9x_0</vt:lpstr>
      <vt:lpstr>'Div 3'!OSRRefP22_9x_0</vt:lpstr>
      <vt:lpstr>'Div 4'!OSRRefP22_9x_0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'324'!OSRRefT13x_0</vt:lpstr>
      <vt:lpstr>'326'!OSRRefT13x_0</vt:lpstr>
      <vt:lpstr>'330'!OSRRefT13x_0</vt:lpstr>
      <vt:lpstr>'331'!OSRRefT13x_0</vt:lpstr>
      <vt:lpstr>'332'!OSRRefT13x_0</vt:lpstr>
      <vt:lpstr>'414'!OSRRefT13x_0</vt:lpstr>
      <vt:lpstr>'415'!OSRRefT13x_0</vt:lpstr>
      <vt:lpstr>'433'!OSRRefT13x_0</vt:lpstr>
      <vt:lpstr>'444'!OSRRefT13x_0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'317'!OSRRefT16x_0</vt:lpstr>
      <vt:lpstr>'322'!OSRRefT16x_0</vt:lpstr>
      <vt:lpstr>'324'!OSRRefT16x_0</vt:lpstr>
      <vt:lpstr>'325'!OSRRefT16x_0</vt:lpstr>
      <vt:lpstr>'326'!OSRRefT16x_0</vt:lpstr>
      <vt:lpstr>'330'!OSRRefT16x_0</vt:lpstr>
      <vt:lpstr>'331'!OSRRefT16x_0</vt:lpstr>
      <vt:lpstr>'332'!OSRRefT16x_0</vt:lpstr>
      <vt:lpstr>'415'!OSRRefT16x_0</vt:lpstr>
      <vt:lpstr>'425'!OSRRefT16x_0</vt:lpstr>
      <vt:lpstr>'433'!OSRRefT16x_0</vt:lpstr>
      <vt:lpstr>'444'!OSRRefT16x_0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'300'!OSRRefT22_10x_0</vt:lpstr>
      <vt:lpstr>'300 &amp; 317'!OSRRefT22_10x_0</vt:lpstr>
      <vt:lpstr>'301'!OSRRefT22_10x_0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'326'!OSRRefT22_10x_0</vt:lpstr>
      <vt:lpstr>'331'!OSRRefT22_10x_0</vt:lpstr>
      <vt:lpstr>'411'!OSRRefT22_10x_0</vt:lpstr>
      <vt:lpstr>'415'!OSRRefT22_10x_0</vt:lpstr>
      <vt:lpstr>'433'!OSRRefT22_10x_0</vt:lpstr>
      <vt:lpstr>'444'!OSRRefT22_10x_0</vt:lpstr>
      <vt:lpstr>'491'!OSRRefT22_10x_0</vt:lpstr>
      <vt:lpstr>'492'!OSRRefT22_10x_0</vt:lpstr>
      <vt:lpstr>'Div 2'!OSRRefT22_10x_0</vt:lpstr>
      <vt:lpstr>'Div 3'!OSRRefT22_10x_0</vt:lpstr>
      <vt:lpstr>'Div 4'!OSRRefT22_10x_0</vt:lpstr>
      <vt:lpstr>Summary!OSRRefT22_10x_0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'326'!OSRRefT22_11x_0</vt:lpstr>
      <vt:lpstr>'331'!OSRRefT22_11x_0</vt:lpstr>
      <vt:lpstr>'411'!OSRRefT22_11x_0</vt:lpstr>
      <vt:lpstr>'415'!OSRRefT22_11x_0</vt:lpstr>
      <vt:lpstr>'444'!OSRRefT22_11x_0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'300'!OSRRefT22_12x_0</vt:lpstr>
      <vt:lpstr>'300 &amp; 317'!OSRRefT22_12x_0</vt:lpstr>
      <vt:lpstr>'301'!OSRRefT22_12x_0</vt:lpstr>
      <vt:lpstr>'308'!OSRRefT22_12x_0</vt:lpstr>
      <vt:lpstr>'310 &amp; 491'!OSRRefT22_12x_0</vt:lpstr>
      <vt:lpstr>'311'!OSRRefT22_12x_0</vt:lpstr>
      <vt:lpstr>'326'!OSRRefT22_12x_0</vt:lpstr>
      <vt:lpstr>'331'!OSRRefT22_12x_0</vt:lpstr>
      <vt:lpstr>'411'!OSRRefT22_12x_0</vt:lpstr>
      <vt:lpstr>'415'!OSRRefT22_12x_0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'300'!OSRRefT22_13x_0</vt:lpstr>
      <vt:lpstr>'300 &amp; 317'!OSRRefT22_13x_0</vt:lpstr>
      <vt:lpstr>'301'!OSRRefT22_13x_0</vt:lpstr>
      <vt:lpstr>'308'!OSRRefT22_13x_0</vt:lpstr>
      <vt:lpstr>'310 &amp; 491'!OSRRefT22_13x_0</vt:lpstr>
      <vt:lpstr>'311'!OSRRefT22_13x_0</vt:lpstr>
      <vt:lpstr>'326'!OSRRefT22_13x_0</vt:lpstr>
      <vt:lpstr>'331'!OSRRefT22_13x_0</vt:lpstr>
      <vt:lpstr>'415'!OSRRefT22_13x_0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 &amp; 491'!OSRRefT22_14x_0</vt:lpstr>
      <vt:lpstr>'326'!OSRRefT22_14x_0</vt:lpstr>
      <vt:lpstr>'331'!OSRRefT22_14x_0</vt:lpstr>
      <vt:lpstr>'415'!OSRRefT22_14x_0</vt:lpstr>
      <vt:lpstr>'491'!OSRRefT22_14x_0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 &amp; 491'!OSRRefT22_15x_0</vt:lpstr>
      <vt:lpstr>'331'!OSRRefT22_15x_0</vt:lpstr>
      <vt:lpstr>'415'!OSRRefT22_15x_0</vt:lpstr>
      <vt:lpstr>'491'!OSRRefT22_15x_0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'331'!OSRRefT22_16x_0</vt:lpstr>
      <vt:lpstr>'491'!OSRRefT22_16x_0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'331'!OSRRefT22_17x_0</vt:lpstr>
      <vt:lpstr>'491'!OSRRefT22_17x_0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'Div 3'!OSRRefT22_19x_0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'Div 3'!OSRRefT22_20x_0</vt:lpstr>
      <vt:lpstr>Summary!OSRRefT22_20x_0</vt:lpstr>
      <vt:lpstr>'300'!OSRRefT22_21x_0</vt:lpstr>
      <vt:lpstr>'300 &amp; 317'!OSRRefT22_21x_0</vt:lpstr>
      <vt:lpstr>'Div 3'!OSRRefT22_21x_0</vt:lpstr>
      <vt:lpstr>Summary!OSRRefT22_21x_0</vt:lpstr>
      <vt:lpstr>'300'!OSRRefT22_22x_0</vt:lpstr>
      <vt:lpstr>'300 &amp; 317'!OSRRefT22_22x_0</vt:lpstr>
      <vt:lpstr>'Div 3'!OSRRefT22_22x_0</vt:lpstr>
      <vt:lpstr>Summary!OSRRefT22_22x_0</vt:lpstr>
      <vt:lpstr>'Div 3'!OSRRefT22_23x_0</vt:lpstr>
      <vt:lpstr>Summary!OSRRefT22_23x_0</vt:lpstr>
      <vt:lpstr>Summary!OSRRefT22_24x_0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'415'!OSRRefT22_3x_0</vt:lpstr>
      <vt:lpstr>'418'!OSRRefT22_3x_0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'413'!OSRRefT22_4x_0</vt:lpstr>
      <vt:lpstr>'415'!OSRRefT22_4x_0</vt:lpstr>
      <vt:lpstr>'418'!OSRRefT22_4x_0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'300'!OSRRefT22_6x_0</vt:lpstr>
      <vt:lpstr>'300 &amp; 317'!OSRRefT22_6x_0</vt:lpstr>
      <vt:lpstr>'301'!OSRRefT22_6x_0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'300'!OSRRefT22_7x_0</vt:lpstr>
      <vt:lpstr>'300 &amp; 317'!OSRRefT22_7x_0</vt:lpstr>
      <vt:lpstr>'301'!OSRRefT22_7x_0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'Div 2'!OSRRefT22_8x_0</vt:lpstr>
      <vt:lpstr>'Div 3'!OSRRefT22_8x_0</vt:lpstr>
      <vt:lpstr>'Div 4'!OSRRefT22_8x_0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'317'!OSRRefT22_9x_0</vt:lpstr>
      <vt:lpstr>'325'!OSRRefT22_9x_0</vt:lpstr>
      <vt:lpstr>'326'!OSRRefT22_9x_0</vt:lpstr>
      <vt:lpstr>'331'!OSRRefT22_9x_0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'491'!OSRRefT22_9x_0</vt:lpstr>
      <vt:lpstr>'492'!OSRRefT22_9x_0</vt:lpstr>
      <vt:lpstr>'Div 2'!OSRRefT22_9x_0</vt:lpstr>
      <vt:lpstr>'Div 3'!OSRRefT22_9x_0</vt:lpstr>
      <vt:lpstr>'Div 4'!OSRRefT22_9x_0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2021-09-23T16:01:32Z</dcterms:created>
  <dcterms:modified xsi:type="dcterms:W3CDTF">2021-09-23T16:04:06Z</dcterms:modified>
</cp:coreProperties>
</file>